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 Assistant\Desktop\Assessing Files\"/>
    </mc:Choice>
  </mc:AlternateContent>
  <xr:revisionPtr revIDLastSave="0" documentId="8_{631A85FA-B593-4498-9F1D-570FD71DAB43}" xr6:coauthVersionLast="47" xr6:coauthVersionMax="47" xr10:uidLastSave="{00000000-0000-0000-0000-000000000000}"/>
  <workbookProtection workbookAlgorithmName="SHA-512" workbookHashValue="z8/JQfzYTK/IQxLdNv6ijq2UyWGLM+yDHwr+IJlyFBUqR3s7xctdLn/2bqGcgoTqHwsZvmgi+ehUC/3uOg+PfA==" workbookSaltValue="KtpPKVl/XuPgMHt3AX+UtA==" workbookSpinCount="100000" lockStructure="1"/>
  <bookViews>
    <workbookView xWindow="-120" yWindow="-120" windowWidth="29040" windowHeight="15720" xr2:uid="{B20DCFB8-8FD2-4B6A-9DF7-E0D083DAB9C9}"/>
  </bookViews>
  <sheets>
    <sheet name="Sheet1" sheetId="1" r:id="rId1"/>
  </sheets>
  <calcPr calcId="191029" iterate="1" iterateCount="500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1" l="1"/>
  <c r="L13" i="1" s="1"/>
  <c r="N13" i="1" s="1"/>
  <c r="J13" i="1"/>
  <c r="M24" i="1" l="1"/>
  <c r="K24" i="1"/>
  <c r="L24" i="1" s="1"/>
  <c r="J24" i="1"/>
  <c r="K10" i="1"/>
  <c r="L10" i="1" s="1"/>
  <c r="N10" i="1" s="1"/>
  <c r="J10" i="1"/>
  <c r="M9" i="1"/>
  <c r="K9" i="1"/>
  <c r="L9" i="1" s="1"/>
  <c r="N9" i="1" s="1"/>
  <c r="J9" i="1"/>
  <c r="M23" i="1"/>
  <c r="K23" i="1"/>
  <c r="L23" i="1" s="1"/>
  <c r="J23" i="1"/>
  <c r="N23" i="1" l="1"/>
  <c r="N24" i="1"/>
  <c r="I16" i="1"/>
  <c r="M8" i="1" l="1"/>
  <c r="K8" i="1"/>
  <c r="L8" i="1" s="1"/>
  <c r="J8" i="1"/>
  <c r="M7" i="1"/>
  <c r="K7" i="1"/>
  <c r="L7" i="1" s="1"/>
  <c r="J7" i="1"/>
  <c r="M6" i="1"/>
  <c r="K6" i="1"/>
  <c r="L6" i="1" s="1"/>
  <c r="J6" i="1"/>
  <c r="M5" i="1"/>
  <c r="K5" i="1"/>
  <c r="L5" i="1" s="1"/>
  <c r="J5" i="1"/>
  <c r="M4" i="1"/>
  <c r="K4" i="1"/>
  <c r="L4" i="1" s="1"/>
  <c r="J4" i="1"/>
  <c r="M3" i="1"/>
  <c r="K3" i="1"/>
  <c r="H3" i="1"/>
  <c r="H16" i="1" s="1"/>
  <c r="J17" i="1" s="1"/>
  <c r="N4" i="1" l="1"/>
  <c r="N7" i="1"/>
  <c r="N6" i="1"/>
  <c r="N8" i="1"/>
  <c r="N5" i="1"/>
  <c r="M16" i="1"/>
  <c r="J3" i="1"/>
  <c r="J18" i="1" s="1"/>
  <c r="L3" i="1"/>
  <c r="N3" i="1" s="1"/>
  <c r="N19" i="1" s="1"/>
  <c r="L16" i="1" l="1"/>
  <c r="N18" i="1" s="1"/>
  <c r="N17" i="1"/>
</calcChain>
</file>

<file path=xl/sharedStrings.xml><?xml version="1.0" encoding="utf-8"?>
<sst xmlns="http://schemas.openxmlformats.org/spreadsheetml/2006/main" count="92" uniqueCount="62">
  <si>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</si>
  <si>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</si>
  <si>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</si>
  <si>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</si>
  <si>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</si>
  <si>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</si>
  <si>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</si>
  <si>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</si>
  <si>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</si>
  <si>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Land + Yard</t>
  </si>
  <si>
    <t>Bldg. Residual</t>
  </si>
  <si>
    <t>Cost Man. $</t>
  </si>
  <si>
    <t>E.C.F.</t>
  </si>
  <si>
    <t>Floor Area</t>
  </si>
  <si>
    <t>$/Sq.Ft.</t>
  </si>
  <si>
    <t>ECF Area</t>
  </si>
  <si>
    <t>Dev. by Mean (%)</t>
  </si>
  <si>
    <t>Building Style</t>
  </si>
  <si>
    <t>Appr. by Eq.</t>
  </si>
  <si>
    <t>Appr. Date</t>
  </si>
  <si>
    <t>Other Parcels in Sale</t>
  </si>
  <si>
    <t>Land Table</t>
  </si>
  <si>
    <t>Property Class</t>
  </si>
  <si>
    <t>WD</t>
  </si>
  <si>
    <t>Res Imp</t>
  </si>
  <si>
    <t>Res Imp Sale</t>
  </si>
  <si>
    <t>015-030-000-2400-00</t>
  </si>
  <si>
    <t>5495 Rossman Rd</t>
  </si>
  <si>
    <t>002-013-000-0400-00</t>
  </si>
  <si>
    <t>1760 E Dutcher Rd</t>
  </si>
  <si>
    <t>Res</t>
  </si>
  <si>
    <t>002-025-000-2600-00</t>
  </si>
  <si>
    <t>1561 E Caro Rd</t>
  </si>
  <si>
    <t>018-035-000-0900-02</t>
  </si>
  <si>
    <t>split</t>
  </si>
  <si>
    <t>770 Englehart Rd</t>
  </si>
  <si>
    <t>015-022-000-1200-01</t>
  </si>
  <si>
    <t>2305 Cemetery Rd</t>
  </si>
  <si>
    <t>015-022-000-0400-03</t>
  </si>
  <si>
    <t>6700 Bevens Rd</t>
  </si>
  <si>
    <t>Sale Ratio =&gt;</t>
  </si>
  <si>
    <t>Std. Dev. =&gt;</t>
  </si>
  <si>
    <t>AG E.C.F. =&gt;</t>
  </si>
  <si>
    <t>AG Ave. E.C.F. =&gt;</t>
  </si>
  <si>
    <t xml:space="preserve">County Ag Sales </t>
  </si>
  <si>
    <t>005-030-000-0300-00</t>
  </si>
  <si>
    <t>2150 E Snover Rd</t>
  </si>
  <si>
    <t>FARM IMPROVED</t>
  </si>
  <si>
    <t>imp sale</t>
  </si>
  <si>
    <t>017-004-000-2800-01</t>
  </si>
  <si>
    <t>4576 Murphy Lake Rd</t>
  </si>
  <si>
    <t>Res imp</t>
  </si>
  <si>
    <t>005-032-000-1400-02</t>
  </si>
  <si>
    <t>1255 E Brown Rd</t>
  </si>
  <si>
    <t>003-019-200-0100-00</t>
  </si>
  <si>
    <t>9061 REESE RD</t>
  </si>
  <si>
    <t>Outliers</t>
  </si>
  <si>
    <t>023-013-000-5200-00</t>
  </si>
  <si>
    <t>5163 N Vassar Rd</t>
  </si>
  <si>
    <t>Res-imp</t>
  </si>
  <si>
    <t>005-004-000-2500-02</t>
  </si>
  <si>
    <t>3982 S Hurds Corner 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</si>
</sst>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164" formatCode="mm/dd/yy"/>
    <numFmt numFmtId="165" formatCode="#0.00_);[Red]\(#0.00\)"/>
    <numFmt numFmtId="166" formatCode="#0.000_);[Red]\(#0.000\)"/>
    <numFmt numFmtId="167" formatCode="&quot;$&quot;#0.00_);[Red]\(&quot;$&quot;#0.00\)"/>
    <numFmt numFmtId="168" formatCode="#0.0000_);[Red]\(#0.0000\)"/>
    <numFmt numFmtId="169" formatCode="0.000"/>
    <numFmt numFmtId="170" formatCode="0.000_);[Red]\(0.000\)"/>
  </numFmts>
  <fonts count="4" x14ac:knownFonts="1">
    <font>
      <sz val="11"/>
      <color theme="1"/>
      <name val="Aptos Narrow"/>
      <family val="2"/>
      <scheme val="minor"/>
    </font>
    <font>
      <b/>
      <sz val="11"/>
      <color rgb="FFC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color rgb="FFFFFFFF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4" fontId="2" fillId="2" borderId="0" xfId="0" applyNumberFormat="1" applyFont="1" applyFill="1"/>
    <xf numFmtId="6" fontId="2" fillId="2" borderId="0" xfId="0" applyNumberFormat="1" applyFont="1" applyFill="1"/>
    <xf numFmtId="165" fontId="2" fillId="2" borderId="0" xfId="0" applyNumberFormat="1" applyFont="1" applyFill="1"/>
    <xf numFmtId="166" fontId="2" fillId="2" borderId="0" xfId="0" applyNumberFormat="1" applyFont="1" applyFill="1"/>
    <xf numFmtId="38" fontId="2" fillId="2" borderId="0" xfId="0" applyNumberFormat="1" applyFont="1" applyFill="1"/>
    <xf numFmtId="167" fontId="2" fillId="2" borderId="0" xfId="0" applyNumberFormat="1" applyFont="1" applyFill="1"/>
    <xf numFmtId="168" fontId="2" fillId="2" borderId="0" xfId="0" applyNumberFormat="1" applyFont="1" applyFill="1" applyAlignment="1">
      <alignment horizontal="right"/>
    </xf>
    <xf numFmtId="168" fontId="2" fillId="2" borderId="0" xfId="0" applyNumberFormat="1" applyFont="1" applyFill="1"/>
    <xf numFmtId="0" fontId="3" fillId="3" borderId="0" xfId="0" applyFont="1" applyFill="1" applyAlignment="1">
      <alignment horizontal="center"/>
    </xf>
    <xf numFmtId="164" fontId="3" fillId="3" borderId="0" xfId="0" applyNumberFormat="1" applyFont="1" applyFill="1" applyAlignment="1">
      <alignment horizontal="center"/>
    </xf>
    <xf numFmtId="6" fontId="3" fillId="3" borderId="0" xfId="0" applyNumberFormat="1" applyFont="1" applyFill="1" applyAlignment="1">
      <alignment horizontal="center"/>
    </xf>
    <xf numFmtId="165" fontId="3" fillId="3" borderId="0" xfId="0" applyNumberFormat="1" applyFont="1" applyFill="1" applyAlignment="1">
      <alignment horizontal="center"/>
    </xf>
    <xf numFmtId="166" fontId="3" fillId="3" borderId="0" xfId="0" applyNumberFormat="1" applyFont="1" applyFill="1" applyAlignment="1">
      <alignment horizontal="center"/>
    </xf>
    <xf numFmtId="38" fontId="3" fillId="3" borderId="0" xfId="0" applyNumberFormat="1" applyFont="1" applyFill="1" applyAlignment="1">
      <alignment horizontal="center"/>
    </xf>
    <xf numFmtId="167" fontId="3" fillId="3" borderId="0" xfId="0" applyNumberFormat="1" applyFont="1" applyFill="1" applyAlignment="1">
      <alignment horizontal="center"/>
    </xf>
    <xf numFmtId="49" fontId="3" fillId="3" borderId="0" xfId="0" applyNumberFormat="1" applyFont="1" applyFill="1" applyAlignment="1">
      <alignment horizontal="right"/>
    </xf>
    <xf numFmtId="168" fontId="3" fillId="3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6" fontId="0" fillId="0" borderId="0" xfId="0" applyNumberFormat="1"/>
    <xf numFmtId="165" fontId="0" fillId="0" borderId="0" xfId="0" applyNumberFormat="1"/>
    <xf numFmtId="166" fontId="0" fillId="4" borderId="0" xfId="0" applyNumberFormat="1" applyFill="1"/>
    <xf numFmtId="38" fontId="0" fillId="0" borderId="0" xfId="0" applyNumberFormat="1"/>
    <xf numFmtId="167" fontId="0" fillId="0" borderId="0" xfId="0" applyNumberFormat="1"/>
    <xf numFmtId="49" fontId="0" fillId="0" borderId="0" xfId="0" applyNumberFormat="1" applyAlignment="1">
      <alignment horizontal="right"/>
    </xf>
    <xf numFmtId="168" fontId="0" fillId="0" borderId="0" xfId="0" applyNumberFormat="1"/>
    <xf numFmtId="0" fontId="0" fillId="0" borderId="0" xfId="0" applyAlignment="1">
      <alignment horizontal="left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/>
    <xf numFmtId="6" fontId="2" fillId="2" borderId="1" xfId="0" applyNumberFormat="1" applyFont="1" applyFill="1" applyBorder="1"/>
    <xf numFmtId="165" fontId="2" fillId="2" borderId="1" xfId="0" applyNumberFormat="1" applyFont="1" applyFill="1" applyBorder="1"/>
    <xf numFmtId="38" fontId="2" fillId="2" borderId="1" xfId="0" applyNumberFormat="1" applyFont="1" applyFill="1" applyBorder="1"/>
    <xf numFmtId="167" fontId="2" fillId="2" borderId="1" xfId="0" applyNumberFormat="1" applyFont="1" applyFill="1" applyBorder="1"/>
    <xf numFmtId="168" fontId="2" fillId="2" borderId="1" xfId="0" applyNumberFormat="1" applyFont="1" applyFill="1" applyBorder="1"/>
    <xf numFmtId="166" fontId="2" fillId="0" borderId="0" xfId="0" applyNumberFormat="1" applyFont="1"/>
    <xf numFmtId="49" fontId="2" fillId="2" borderId="0" xfId="0" applyNumberFormat="1" applyFont="1" applyFill="1" applyAlignment="1">
      <alignment horizontal="right"/>
    </xf>
    <xf numFmtId="6" fontId="2" fillId="0" borderId="0" xfId="0" applyNumberFormat="1" applyFont="1"/>
    <xf numFmtId="166" fontId="2" fillId="5" borderId="0" xfId="0" applyNumberFormat="1" applyFont="1" applyFill="1"/>
    <xf numFmtId="169" fontId="2" fillId="6" borderId="0" xfId="0" applyNumberFormat="1" applyFont="1" applyFill="1" applyAlignment="1">
      <alignment horizontal="right"/>
    </xf>
    <xf numFmtId="166" fontId="2" fillId="0" borderId="1" xfId="0" applyNumberFormat="1" applyFont="1" applyBorder="1"/>
    <xf numFmtId="170" fontId="2" fillId="2" borderId="1" xfId="0" applyNumberFormat="1" applyFont="1" applyFill="1" applyBorder="1" applyAlignment="1">
      <alignment horizontal="right"/>
    </xf>
    <xf numFmtId="165" fontId="0" fillId="4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32EAA-4881-407C-A943-1CAEDCC4C15E}">
  <dimension ref="A1:X26"/>
  <sheetViews>
    <sheetView tabSelected="1" workbookViewId="0">
      <selection activeCell="N18" sqref="N18"/>
    </sheetView>
  </sheetViews>
  <sheetFormatPr defaultRowHeight="15" x14ac:dyDescent="0.25"/>
  <cols>
    <col min="1" max="1" width="22.42578125" customWidth="1"/>
    <col min="2" max="2" width="8.7109375" customWidth="1"/>
    <col min="3" max="3" width="21.140625" customWidth="1"/>
    <col min="5" max="5" width="11.42578125" customWidth="1"/>
    <col min="7" max="7" width="9.140625" customWidth="1"/>
    <col min="8" max="8" width="13.28515625" customWidth="1"/>
    <col min="9" max="9" width="12.140625" customWidth="1"/>
    <col min="12" max="12" width="13.140625" customWidth="1"/>
    <col min="13" max="13" width="11.7109375" customWidth="1"/>
  </cols>
  <sheetData>
    <row r="1" spans="1:24" x14ac:dyDescent="0.25">
      <c r="A1" s="1" t="s">
        <v>44</v>
      </c>
      <c r="B1" s="2"/>
      <c r="C1" s="3"/>
      <c r="D1" s="4"/>
      <c r="E1" s="5"/>
      <c r="F1" s="3"/>
      <c r="G1" s="3"/>
      <c r="H1" s="5"/>
      <c r="I1" s="5"/>
      <c r="J1" s="6"/>
      <c r="K1" s="5"/>
      <c r="L1" s="5"/>
      <c r="M1" s="5"/>
      <c r="N1" s="7"/>
      <c r="O1" s="8"/>
      <c r="P1" s="9"/>
      <c r="Q1" s="10"/>
      <c r="R1" s="11"/>
      <c r="S1" s="3"/>
      <c r="T1" s="3"/>
      <c r="U1" s="4"/>
      <c r="V1" s="3"/>
      <c r="W1" s="3"/>
      <c r="X1" s="3"/>
    </row>
    <row r="2" spans="1:24" x14ac:dyDescent="0.25">
      <c r="A2" s="12" t="s">
        <v>0</v>
      </c>
      <c r="B2" s="12"/>
      <c r="C2" s="12" t="s">
        <v>1</v>
      </c>
      <c r="D2" s="13" t="s">
        <v>2</v>
      </c>
      <c r="E2" s="14" t="s">
        <v>3</v>
      </c>
      <c r="F2" s="12" t="s">
        <v>4</v>
      </c>
      <c r="G2" s="12" t="s">
        <v>5</v>
      </c>
      <c r="H2" s="14" t="s">
        <v>6</v>
      </c>
      <c r="I2" s="14" t="s">
        <v>7</v>
      </c>
      <c r="J2" s="15" t="s">
        <v>8</v>
      </c>
      <c r="K2" s="14" t="s">
        <v>9</v>
      </c>
      <c r="L2" s="14" t="s">
        <v>10</v>
      </c>
      <c r="M2" s="14" t="s">
        <v>11</v>
      </c>
      <c r="N2" s="16" t="s">
        <v>12</v>
      </c>
      <c r="O2" s="17" t="s">
        <v>13</v>
      </c>
      <c r="P2" s="18" t="s">
        <v>14</v>
      </c>
      <c r="Q2" s="19" t="s">
        <v>15</v>
      </c>
      <c r="R2" s="20" t="s">
        <v>16</v>
      </c>
      <c r="S2" s="12" t="s">
        <v>17</v>
      </c>
      <c r="T2" s="12" t="s">
        <v>18</v>
      </c>
      <c r="U2" s="13" t="s">
        <v>19</v>
      </c>
      <c r="V2" s="12" t="s">
        <v>20</v>
      </c>
      <c r="W2" s="12" t="s">
        <v>21</v>
      </c>
      <c r="X2" s="12" t="s">
        <v>22</v>
      </c>
    </row>
    <row r="3" spans="1:24" x14ac:dyDescent="0.25">
      <c r="A3" s="30" t="s">
        <v>26</v>
      </c>
      <c r="B3" s="21"/>
      <c r="C3" t="s">
        <v>27</v>
      </c>
      <c r="D3" s="22">
        <v>44995</v>
      </c>
      <c r="E3" s="23">
        <v>145000</v>
      </c>
      <c r="F3" t="s">
        <v>23</v>
      </c>
      <c r="G3" t="s">
        <v>24</v>
      </c>
      <c r="H3" s="23">
        <f>145000-4500</f>
        <v>140500</v>
      </c>
      <c r="I3" s="23">
        <v>64700</v>
      </c>
      <c r="J3" s="24">
        <f t="shared" ref="J3:J10" si="0">I3/H3*100</f>
        <v>46.04982206405694</v>
      </c>
      <c r="K3" s="23">
        <f>9486</f>
        <v>9486</v>
      </c>
      <c r="L3" s="23">
        <f t="shared" ref="L3:L10" si="1">H3-K3</f>
        <v>131014</v>
      </c>
      <c r="M3" s="23">
        <f>124359+986+1070+6428</f>
        <v>132843</v>
      </c>
      <c r="N3" s="25">
        <f t="shared" ref="N3:N10" si="2">L3/M3</f>
        <v>0.98623186769344262</v>
      </c>
      <c r="O3" s="26"/>
      <c r="P3" s="27" t="s">
        <v>25</v>
      </c>
      <c r="Q3" s="28"/>
      <c r="R3" s="29"/>
      <c r="U3" s="22"/>
    </row>
    <row r="4" spans="1:24" x14ac:dyDescent="0.25">
      <c r="A4" s="30" t="s">
        <v>28</v>
      </c>
      <c r="B4" s="21"/>
      <c r="C4" t="s">
        <v>29</v>
      </c>
      <c r="D4" s="22">
        <v>44792</v>
      </c>
      <c r="E4" s="23">
        <v>125000</v>
      </c>
      <c r="F4" t="s">
        <v>23</v>
      </c>
      <c r="G4" t="s">
        <v>24</v>
      </c>
      <c r="H4" s="23">
        <v>117500</v>
      </c>
      <c r="I4" s="23">
        <v>28300</v>
      </c>
      <c r="J4" s="24">
        <f t="shared" si="0"/>
        <v>24.085106382978726</v>
      </c>
      <c r="K4" s="23">
        <f>3703+7744</f>
        <v>11447</v>
      </c>
      <c r="L4" s="23">
        <f t="shared" si="1"/>
        <v>106053</v>
      </c>
      <c r="M4" s="23">
        <f>130575</f>
        <v>130575</v>
      </c>
      <c r="N4" s="25">
        <f t="shared" si="2"/>
        <v>0.81219988512349228</v>
      </c>
      <c r="O4" s="26"/>
      <c r="P4" s="27" t="s">
        <v>25</v>
      </c>
      <c r="Q4" s="28"/>
      <c r="R4" s="29"/>
      <c r="U4" s="22"/>
    </row>
    <row r="5" spans="1:24" x14ac:dyDescent="0.25">
      <c r="A5" s="30" t="s">
        <v>31</v>
      </c>
      <c r="B5" s="21" t="s">
        <v>30</v>
      </c>
      <c r="C5" t="s">
        <v>32</v>
      </c>
      <c r="D5" s="22">
        <v>44788</v>
      </c>
      <c r="E5" s="23">
        <v>138000</v>
      </c>
      <c r="F5" t="s">
        <v>23</v>
      </c>
      <c r="G5" t="s">
        <v>24</v>
      </c>
      <c r="H5" s="23">
        <v>138000</v>
      </c>
      <c r="I5" s="23">
        <v>51300</v>
      </c>
      <c r="J5" s="24">
        <f t="shared" si="0"/>
        <v>37.173913043478265</v>
      </c>
      <c r="K5" s="23">
        <f>1650+1709</f>
        <v>3359</v>
      </c>
      <c r="L5" s="23">
        <f t="shared" si="1"/>
        <v>134641</v>
      </c>
      <c r="M5" s="23">
        <f>145374</f>
        <v>145374</v>
      </c>
      <c r="N5" s="25">
        <f t="shared" si="2"/>
        <v>0.92616974149435249</v>
      </c>
      <c r="O5" s="26"/>
      <c r="P5" s="27" t="s">
        <v>25</v>
      </c>
      <c r="Q5" s="28"/>
      <c r="R5" s="29"/>
      <c r="U5" s="22"/>
    </row>
    <row r="6" spans="1:24" x14ac:dyDescent="0.25">
      <c r="A6" s="30" t="s">
        <v>33</v>
      </c>
      <c r="B6" s="21" t="s">
        <v>34</v>
      </c>
      <c r="C6" t="s">
        <v>35</v>
      </c>
      <c r="D6" s="22">
        <v>45260</v>
      </c>
      <c r="E6" s="23">
        <v>168000</v>
      </c>
      <c r="F6" t="s">
        <v>23</v>
      </c>
      <c r="G6" t="s">
        <v>24</v>
      </c>
      <c r="H6" s="23">
        <v>168000</v>
      </c>
      <c r="I6" s="23">
        <v>79700</v>
      </c>
      <c r="J6" s="24">
        <f t="shared" si="0"/>
        <v>47.44047619047619</v>
      </c>
      <c r="K6" s="23">
        <f>12996</f>
        <v>12996</v>
      </c>
      <c r="L6" s="23">
        <f t="shared" si="1"/>
        <v>155004</v>
      </c>
      <c r="M6" s="23">
        <f>161379+9512+2271+7242+2075</f>
        <v>182479</v>
      </c>
      <c r="N6" s="25">
        <f t="shared" si="2"/>
        <v>0.84943472947572052</v>
      </c>
      <c r="O6" s="26"/>
      <c r="P6" s="27" t="s">
        <v>25</v>
      </c>
      <c r="Q6" s="28"/>
      <c r="R6" s="29"/>
      <c r="U6" s="22"/>
    </row>
    <row r="7" spans="1:24" x14ac:dyDescent="0.25">
      <c r="A7" s="30" t="s">
        <v>36</v>
      </c>
      <c r="B7" s="21"/>
      <c r="C7" t="s">
        <v>37</v>
      </c>
      <c r="D7" s="22">
        <v>45121</v>
      </c>
      <c r="E7" s="23">
        <v>220900</v>
      </c>
      <c r="F7" t="s">
        <v>23</v>
      </c>
      <c r="G7" t="s">
        <v>24</v>
      </c>
      <c r="H7" s="23">
        <v>220900</v>
      </c>
      <c r="I7" s="23">
        <v>107500</v>
      </c>
      <c r="J7" s="24">
        <f t="shared" si="0"/>
        <v>48.664554096876415</v>
      </c>
      <c r="K7" s="23">
        <f>20800+8568</f>
        <v>29368</v>
      </c>
      <c r="L7" s="23">
        <f t="shared" si="1"/>
        <v>191532</v>
      </c>
      <c r="M7" s="23">
        <f>177705+9844</f>
        <v>187549</v>
      </c>
      <c r="N7" s="25">
        <f t="shared" si="2"/>
        <v>1.021237116700169</v>
      </c>
      <c r="O7" s="26"/>
      <c r="P7" s="27"/>
      <c r="Q7" s="28"/>
      <c r="R7" s="29"/>
      <c r="U7" s="22"/>
    </row>
    <row r="8" spans="1:24" x14ac:dyDescent="0.25">
      <c r="A8" s="30" t="s">
        <v>38</v>
      </c>
      <c r="B8" s="21"/>
      <c r="C8" t="s">
        <v>39</v>
      </c>
      <c r="D8" s="22">
        <v>44895</v>
      </c>
      <c r="E8" s="23">
        <v>200000</v>
      </c>
      <c r="F8" t="s">
        <v>23</v>
      </c>
      <c r="G8" t="s">
        <v>24</v>
      </c>
      <c r="H8" s="23">
        <v>200000</v>
      </c>
      <c r="I8" s="23">
        <v>60800</v>
      </c>
      <c r="J8" s="24">
        <f t="shared" si="0"/>
        <v>30.4</v>
      </c>
      <c r="K8" s="23">
        <f>9000+564</f>
        <v>9564</v>
      </c>
      <c r="L8" s="23">
        <f t="shared" si="1"/>
        <v>190436</v>
      </c>
      <c r="M8" s="23">
        <f>197910</f>
        <v>197910</v>
      </c>
      <c r="N8" s="25">
        <f t="shared" si="2"/>
        <v>0.96223535950684658</v>
      </c>
      <c r="O8" s="26"/>
      <c r="P8" s="27"/>
      <c r="Q8" s="28"/>
      <c r="R8" s="29"/>
      <c r="U8" s="22"/>
    </row>
    <row r="9" spans="1:24" x14ac:dyDescent="0.25">
      <c r="A9" s="30" t="s">
        <v>49</v>
      </c>
      <c r="B9" s="21" t="s">
        <v>34</v>
      </c>
      <c r="C9" t="s">
        <v>50</v>
      </c>
      <c r="D9" s="22">
        <v>44931</v>
      </c>
      <c r="E9" s="23">
        <v>192400</v>
      </c>
      <c r="F9" t="s">
        <v>23</v>
      </c>
      <c r="G9" t="s">
        <v>51</v>
      </c>
      <c r="H9" s="23">
        <v>192400</v>
      </c>
      <c r="I9" s="23">
        <v>95800</v>
      </c>
      <c r="J9" s="24">
        <f t="shared" si="0"/>
        <v>49.792099792099791</v>
      </c>
      <c r="K9" s="23">
        <f>7400+3656</f>
        <v>11056</v>
      </c>
      <c r="L9" s="23">
        <f t="shared" si="1"/>
        <v>181344</v>
      </c>
      <c r="M9" s="23">
        <f>179063</f>
        <v>179063</v>
      </c>
      <c r="N9" s="25">
        <f t="shared" si="2"/>
        <v>1.0127385333653518</v>
      </c>
      <c r="O9" s="26"/>
      <c r="P9" s="27"/>
      <c r="Q9" s="28"/>
      <c r="R9" s="29"/>
      <c r="U9" s="22"/>
    </row>
    <row r="10" spans="1:24" x14ac:dyDescent="0.25">
      <c r="A10" s="30" t="s">
        <v>52</v>
      </c>
      <c r="B10" s="21"/>
      <c r="C10" t="s">
        <v>53</v>
      </c>
      <c r="D10" s="22">
        <v>45338</v>
      </c>
      <c r="E10" s="23">
        <v>90000</v>
      </c>
      <c r="F10" t="s">
        <v>23</v>
      </c>
      <c r="G10" t="s">
        <v>51</v>
      </c>
      <c r="H10" s="23">
        <v>90000</v>
      </c>
      <c r="I10" s="23">
        <v>52500</v>
      </c>
      <c r="J10" s="24">
        <f t="shared" si="0"/>
        <v>58.333333333333336</v>
      </c>
      <c r="K10" s="23">
        <f>7946+258</f>
        <v>8204</v>
      </c>
      <c r="L10" s="23">
        <f t="shared" si="1"/>
        <v>81796</v>
      </c>
      <c r="M10" s="23">
        <v>95525</v>
      </c>
      <c r="N10" s="25">
        <f t="shared" si="2"/>
        <v>0.85627846113582828</v>
      </c>
      <c r="O10" s="26"/>
      <c r="P10" s="27"/>
      <c r="Q10" s="28"/>
      <c r="R10" s="29"/>
      <c r="U10" s="22"/>
    </row>
    <row r="11" spans="1:24" x14ac:dyDescent="0.25">
      <c r="A11" s="30" t="s">
        <v>49</v>
      </c>
      <c r="B11" s="21" t="s">
        <v>34</v>
      </c>
      <c r="C11" t="s">
        <v>50</v>
      </c>
      <c r="D11" s="22">
        <v>44931</v>
      </c>
      <c r="E11" s="23">
        <v>192400</v>
      </c>
      <c r="F11" t="s">
        <v>23</v>
      </c>
      <c r="G11" t="s">
        <v>51</v>
      </c>
      <c r="H11" s="23">
        <v>192400</v>
      </c>
      <c r="I11" s="23">
        <v>95800</v>
      </c>
      <c r="J11" s="24">
        <v>49.792099792099791</v>
      </c>
      <c r="K11" s="23">
        <v>11056</v>
      </c>
      <c r="L11" s="23">
        <v>181344</v>
      </c>
      <c r="M11" s="23">
        <v>179063</v>
      </c>
      <c r="N11" s="25">
        <v>1.0127385333653518</v>
      </c>
      <c r="O11" s="26"/>
      <c r="P11" s="27"/>
      <c r="Q11" s="28"/>
    </row>
    <row r="12" spans="1:24" x14ac:dyDescent="0.25">
      <c r="A12" s="30" t="s">
        <v>57</v>
      </c>
      <c r="B12" s="21"/>
      <c r="C12" t="s">
        <v>58</v>
      </c>
      <c r="D12" s="22">
        <v>45301</v>
      </c>
      <c r="E12" s="23">
        <v>132000</v>
      </c>
      <c r="F12" t="s">
        <v>23</v>
      </c>
      <c r="G12" t="s">
        <v>59</v>
      </c>
      <c r="H12" s="23">
        <v>132000</v>
      </c>
      <c r="I12" s="23">
        <v>52400</v>
      </c>
      <c r="J12" s="24">
        <v>39.696969696969695</v>
      </c>
      <c r="K12" s="23">
        <v>15625</v>
      </c>
      <c r="L12" s="23">
        <v>116375</v>
      </c>
      <c r="M12" s="23">
        <v>121508</v>
      </c>
      <c r="N12" s="46">
        <v>0.95775586792639167</v>
      </c>
      <c r="O12" s="26"/>
      <c r="P12" s="27"/>
      <c r="Q12" s="28"/>
      <c r="R12" s="29"/>
      <c r="U12" s="22"/>
    </row>
    <row r="13" spans="1:24" x14ac:dyDescent="0.25">
      <c r="A13" s="30" t="s">
        <v>60</v>
      </c>
      <c r="B13" s="21"/>
      <c r="C13" t="s">
        <v>61</v>
      </c>
      <c r="D13" s="22">
        <v>44939</v>
      </c>
      <c r="E13" s="23">
        <v>189900</v>
      </c>
      <c r="F13" t="s">
        <v>23</v>
      </c>
      <c r="G13" t="s">
        <v>51</v>
      </c>
      <c r="H13" s="23">
        <v>189900</v>
      </c>
      <c r="I13" s="23">
        <v>73900</v>
      </c>
      <c r="J13" s="24">
        <f t="shared" ref="J13" si="3">I13/H13*100</f>
        <v>38.915218536071613</v>
      </c>
      <c r="K13" s="23">
        <f>16128+13</f>
        <v>16141</v>
      </c>
      <c r="L13" s="23">
        <f t="shared" ref="L13" si="4">H13-K13</f>
        <v>173759</v>
      </c>
      <c r="M13" s="23">
        <v>167047</v>
      </c>
      <c r="N13" s="25">
        <f t="shared" ref="N13" si="5">L13/M13</f>
        <v>1.0401803085359211</v>
      </c>
      <c r="O13" s="26"/>
      <c r="P13" s="27"/>
      <c r="Q13" s="28"/>
      <c r="R13" s="29"/>
      <c r="U13" s="22"/>
    </row>
    <row r="14" spans="1:24" x14ac:dyDescent="0.25">
      <c r="A14" s="30"/>
      <c r="B14" s="21"/>
      <c r="D14" s="22"/>
      <c r="E14" s="23"/>
      <c r="H14" s="23"/>
      <c r="I14" s="23"/>
      <c r="J14" s="24"/>
      <c r="K14" s="23"/>
      <c r="L14" s="23"/>
      <c r="M14" s="23"/>
      <c r="N14" s="25"/>
      <c r="O14" s="26"/>
      <c r="P14" s="27"/>
      <c r="Q14" s="28"/>
      <c r="R14" s="29"/>
      <c r="U14" s="22"/>
    </row>
    <row r="15" spans="1:24" ht="15.75" customHeight="1" x14ac:dyDescent="0.25">
      <c r="B15" s="21"/>
      <c r="D15" s="22"/>
      <c r="E15" s="23"/>
      <c r="H15" s="23"/>
      <c r="I15" s="23"/>
      <c r="J15" s="24"/>
      <c r="K15" s="23"/>
      <c r="L15" s="23"/>
      <c r="M15" s="23"/>
      <c r="N15" s="25"/>
      <c r="O15" s="26"/>
      <c r="P15" s="27"/>
      <c r="Q15" s="28"/>
      <c r="R15" s="29"/>
      <c r="U15" s="22"/>
    </row>
    <row r="16" spans="1:24" x14ac:dyDescent="0.25">
      <c r="A16" s="3"/>
      <c r="B16" s="2"/>
      <c r="C16" s="3"/>
      <c r="D16" s="4"/>
      <c r="E16" s="5"/>
      <c r="F16" s="3"/>
      <c r="G16" s="3"/>
      <c r="H16" s="5">
        <f>SUM(H3:H15)</f>
        <v>1781600</v>
      </c>
      <c r="I16" s="5">
        <f>SUM(I3:I15)</f>
        <v>762700</v>
      </c>
      <c r="J16" s="6"/>
      <c r="K16" s="5"/>
      <c r="L16" s="5">
        <f>SUM(L3:L15)</f>
        <v>1643298</v>
      </c>
      <c r="M16" s="5">
        <f>SUM(M3:M15)</f>
        <v>1718936</v>
      </c>
      <c r="N16" s="39"/>
      <c r="O16" s="8"/>
      <c r="P16" s="9"/>
      <c r="Q16" s="40"/>
      <c r="R16" s="11"/>
      <c r="S16" s="3"/>
      <c r="T16" s="3"/>
      <c r="U16" s="4"/>
      <c r="V16" s="3"/>
      <c r="W16" s="3"/>
      <c r="X16" s="3"/>
    </row>
    <row r="17" spans="1:24" x14ac:dyDescent="0.25">
      <c r="A17" s="3"/>
      <c r="B17" s="2"/>
      <c r="C17" s="3"/>
      <c r="D17" s="4"/>
      <c r="E17" s="5"/>
      <c r="F17" s="3"/>
      <c r="G17" s="3"/>
      <c r="H17" s="5"/>
      <c r="I17" s="5" t="s">
        <v>40</v>
      </c>
      <c r="J17" s="6">
        <f>I16/H16*100</f>
        <v>42.809833857207003</v>
      </c>
      <c r="K17" s="5"/>
      <c r="L17" s="5"/>
      <c r="M17" s="41" t="s">
        <v>41</v>
      </c>
      <c r="N17" s="39">
        <f>STDEV(N3:N15)</f>
        <v>7.8128757500539811E-2</v>
      </c>
      <c r="O17" s="8"/>
      <c r="P17" s="9"/>
      <c r="Q17" s="40"/>
      <c r="R17" s="11"/>
      <c r="S17" s="3"/>
      <c r="T17" s="3"/>
      <c r="U17" s="4"/>
      <c r="V17" s="3"/>
      <c r="W17" s="3"/>
      <c r="X17" s="3"/>
    </row>
    <row r="18" spans="1:24" x14ac:dyDescent="0.25">
      <c r="A18" s="3"/>
      <c r="B18" s="2"/>
      <c r="C18" s="3"/>
      <c r="D18" s="4"/>
      <c r="E18" s="5"/>
      <c r="F18" s="3"/>
      <c r="G18" s="3"/>
      <c r="H18" s="5"/>
      <c r="I18" s="5" t="s">
        <v>41</v>
      </c>
      <c r="J18" s="6">
        <f>STDEV(J3:J8)</f>
        <v>10.139902431243</v>
      </c>
      <c r="K18" s="5"/>
      <c r="L18" s="5"/>
      <c r="M18" s="5" t="s">
        <v>42</v>
      </c>
      <c r="N18" s="42">
        <f>SUM(L16/M16)</f>
        <v>0.95599719826683482</v>
      </c>
      <c r="O18" s="8"/>
      <c r="P18" s="9"/>
      <c r="Q18" s="43"/>
      <c r="R18" s="11"/>
      <c r="S18" s="3"/>
      <c r="T18" s="3"/>
      <c r="U18" s="4"/>
      <c r="V18" s="3"/>
      <c r="W18" s="3"/>
      <c r="X18" s="3"/>
    </row>
    <row r="19" spans="1:24" x14ac:dyDescent="0.25">
      <c r="A19" s="31"/>
      <c r="B19" s="32"/>
      <c r="C19" s="31"/>
      <c r="D19" s="33"/>
      <c r="E19" s="34"/>
      <c r="F19" s="31"/>
      <c r="G19" s="31"/>
      <c r="H19" s="34"/>
      <c r="I19" s="34"/>
      <c r="J19" s="35"/>
      <c r="K19" s="34"/>
      <c r="L19" s="34"/>
      <c r="M19" s="34" t="s">
        <v>43</v>
      </c>
      <c r="N19" s="44">
        <f>AVERAGE(N3:N15)</f>
        <v>0.948836400392988</v>
      </c>
      <c r="O19" s="36"/>
      <c r="P19" s="37"/>
      <c r="Q19" s="45"/>
      <c r="R19" s="38"/>
      <c r="S19" s="31"/>
      <c r="T19" s="31"/>
      <c r="U19" s="33"/>
      <c r="V19" s="31"/>
      <c r="W19" s="31"/>
      <c r="X19" s="31"/>
    </row>
    <row r="22" spans="1:24" x14ac:dyDescent="0.25">
      <c r="A22" t="s">
        <v>56</v>
      </c>
    </row>
    <row r="23" spans="1:24" x14ac:dyDescent="0.25">
      <c r="A23" s="30" t="s">
        <v>45</v>
      </c>
      <c r="B23" s="21"/>
      <c r="C23" t="s">
        <v>46</v>
      </c>
      <c r="D23" s="22">
        <v>44932</v>
      </c>
      <c r="E23" s="23">
        <v>260000</v>
      </c>
      <c r="F23" t="s">
        <v>23</v>
      </c>
      <c r="G23" t="s">
        <v>47</v>
      </c>
      <c r="H23" s="23">
        <v>260000</v>
      </c>
      <c r="I23" s="23">
        <v>104900</v>
      </c>
      <c r="J23" s="24">
        <f>I23/H23*100</f>
        <v>40.346153846153847</v>
      </c>
      <c r="K23" s="23">
        <f>189930</f>
        <v>189930</v>
      </c>
      <c r="L23" s="23">
        <f>H23-K23</f>
        <v>70070</v>
      </c>
      <c r="M23" s="23">
        <f>90465+6415+11349+15276</f>
        <v>123505</v>
      </c>
      <c r="N23" s="25">
        <f>L23/M23</f>
        <v>0.5673454516011498</v>
      </c>
      <c r="O23" s="26"/>
      <c r="P23" s="27" t="s">
        <v>48</v>
      </c>
      <c r="Q23" s="28"/>
      <c r="R23" s="29"/>
      <c r="U23" s="22"/>
    </row>
    <row r="24" spans="1:24" x14ac:dyDescent="0.25">
      <c r="A24" s="30" t="s">
        <v>54</v>
      </c>
      <c r="B24" s="21"/>
      <c r="C24" t="s">
        <v>55</v>
      </c>
      <c r="D24" s="22">
        <v>44987</v>
      </c>
      <c r="E24" s="23">
        <v>179000</v>
      </c>
      <c r="F24" t="s">
        <v>23</v>
      </c>
      <c r="G24" t="s">
        <v>47</v>
      </c>
      <c r="H24" s="23">
        <v>179000</v>
      </c>
      <c r="I24" s="23">
        <v>99900</v>
      </c>
      <c r="J24" s="24">
        <f>I24/H24*100</f>
        <v>55.81005586592179</v>
      </c>
      <c r="K24" s="23">
        <f>169703</f>
        <v>169703</v>
      </c>
      <c r="L24" s="23">
        <f>H24-K24</f>
        <v>9297</v>
      </c>
      <c r="M24" s="23">
        <f>117883+2672</f>
        <v>120555</v>
      </c>
      <c r="N24" s="25">
        <f>L24/M24</f>
        <v>7.7118327734229192E-2</v>
      </c>
      <c r="O24" s="26"/>
      <c r="P24" s="27" t="s">
        <v>48</v>
      </c>
      <c r="Q24" s="28"/>
      <c r="R24" s="29"/>
      <c r="U24" s="22"/>
    </row>
    <row r="25" spans="1:24" x14ac:dyDescent="0.25">
      <c r="A25" s="30"/>
      <c r="B25" s="21"/>
      <c r="D25" s="22"/>
      <c r="E25" s="23"/>
      <c r="H25" s="23"/>
      <c r="I25" s="23"/>
      <c r="J25" s="24"/>
      <c r="K25" s="23"/>
      <c r="L25" s="23"/>
      <c r="M25" s="23"/>
      <c r="N25" s="26"/>
      <c r="O25" s="27"/>
      <c r="P25" s="28"/>
      <c r="Q25" s="29"/>
      <c r="T25" s="22"/>
    </row>
    <row r="26" spans="1:24" x14ac:dyDescent="0.25">
      <c r="A26" s="30"/>
      <c r="B26" s="21"/>
      <c r="D26" s="22"/>
      <c r="E26" s="23"/>
      <c r="H26" s="23"/>
      <c r="I26" s="23"/>
      <c r="J26" s="24"/>
      <c r="K26" s="23"/>
      <c r="L26" s="23"/>
      <c r="M26" s="23"/>
      <c r="N26" s="26"/>
      <c r="O26" s="27"/>
      <c r="P26" s="28"/>
      <c r="Q26" s="29"/>
      <c r="T26" s="22"/>
    </row>
  </sheetData>
  <sheetProtection algorithmName="SHA-512" hashValue="Pq5oHWnkeixss4dqPvWeaekr940xjag7+OEMQas1/Dn/WjUCR2RoW1NslIlQkjqglxGtj5gzqga/wPvgR918DQ==" saltValue="+ozb5pd8hHyqXHV8x+gQuQ==" spinCount="100000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Sherry Hickmott</dc:creator>
  <cp:lastModifiedBy>Sarah Osentoski</cp:lastModifiedBy>
  <dcterms:created xsi:type="dcterms:W3CDTF">2025-02-03T20:54:39Z</dcterms:created>
  <dcterms:modified xsi:type="dcterms:W3CDTF">2025-02-24T17:51:58Z</dcterms:modified>
</cp:coreProperties>
</file>