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dmin Assistant\Desktop\Assessing Files\2026\"/>
    </mc:Choice>
  </mc:AlternateContent>
  <xr:revisionPtr revIDLastSave="0" documentId="8_{4A7AE328-A29F-4CD0-9F00-7FDE2A72144E}" xr6:coauthVersionLast="47" xr6:coauthVersionMax="47" xr10:uidLastSave="{00000000-0000-0000-0000-000000000000}"/>
  <bookViews>
    <workbookView xWindow="-120" yWindow="-120" windowWidth="29040" windowHeight="15720" xr2:uid="{CD06896B-2229-420D-BE07-E5D02B572421}"/>
  </bookViews>
  <sheets>
    <sheet name="Land Analysis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01" i="2" l="1"/>
  <c r="O101" i="2"/>
  <c r="P101" i="2"/>
  <c r="D101" i="2"/>
  <c r="G101" i="2"/>
  <c r="H101" i="2"/>
  <c r="I98" i="2"/>
  <c r="I160" i="2"/>
  <c r="I97" i="2"/>
  <c r="I159" i="2"/>
  <c r="I96" i="2"/>
  <c r="I95" i="2"/>
  <c r="I158" i="2"/>
  <c r="I94" i="2"/>
  <c r="I93" i="2"/>
  <c r="I92" i="2"/>
  <c r="I162" i="2"/>
  <c r="I91" i="2"/>
  <c r="I90" i="2"/>
  <c r="I161" i="2"/>
  <c r="I107" i="2"/>
  <c r="K107" i="2"/>
  <c r="R107" i="2" s="1"/>
  <c r="I108" i="2"/>
  <c r="K108" i="2"/>
  <c r="Q108" i="2" s="1"/>
  <c r="I109" i="2"/>
  <c r="K109" i="2"/>
  <c r="Q109" i="2" s="1"/>
  <c r="I110" i="2"/>
  <c r="K110" i="2"/>
  <c r="S110" i="2" s="1"/>
  <c r="I154" i="2"/>
  <c r="I102" i="2" l="1"/>
  <c r="S107" i="2"/>
  <c r="Q107" i="2"/>
  <c r="R109" i="2"/>
  <c r="S109" i="2"/>
  <c r="S108" i="2"/>
  <c r="R110" i="2"/>
  <c r="R108" i="2"/>
  <c r="Q110" i="2"/>
  <c r="K144" i="2" l="1"/>
  <c r="S144" i="2" s="1"/>
  <c r="I144" i="2"/>
  <c r="I34" i="2"/>
  <c r="K34" i="2"/>
  <c r="S34" i="2" s="1"/>
  <c r="K122" i="2"/>
  <c r="K121" i="2"/>
  <c r="K120" i="2"/>
  <c r="K119" i="2"/>
  <c r="K135" i="2"/>
  <c r="K134" i="2"/>
  <c r="K133" i="2"/>
  <c r="I164" i="2"/>
  <c r="I81" i="2"/>
  <c r="I80" i="2"/>
  <c r="I79" i="2"/>
  <c r="I78" i="2"/>
  <c r="I77" i="2"/>
  <c r="I76" i="2"/>
  <c r="I75" i="2"/>
  <c r="I163" i="2"/>
  <c r="I74" i="2"/>
  <c r="I155" i="2"/>
  <c r="I71" i="2"/>
  <c r="I70" i="2"/>
  <c r="I69" i="2"/>
  <c r="I68" i="2"/>
  <c r="I67" i="2"/>
  <c r="I66" i="2"/>
  <c r="I156" i="2"/>
  <c r="I157" i="2"/>
  <c r="I65" i="2"/>
  <c r="I64" i="2"/>
  <c r="I63" i="2"/>
  <c r="I62" i="2"/>
  <c r="I61" i="2"/>
  <c r="Q34" i="2" l="1"/>
  <c r="R144" i="2"/>
  <c r="Q144" i="2"/>
  <c r="R34" i="2"/>
  <c r="K60" i="2" l="1"/>
  <c r="S60" i="2" s="1"/>
  <c r="I60" i="2"/>
  <c r="K126" i="2"/>
  <c r="R126" i="2" s="1"/>
  <c r="I126" i="2"/>
  <c r="K125" i="2"/>
  <c r="S125" i="2" s="1"/>
  <c r="I125" i="2"/>
  <c r="K124" i="2"/>
  <c r="S124" i="2" s="1"/>
  <c r="I124" i="2"/>
  <c r="K123" i="2"/>
  <c r="Q123" i="2" s="1"/>
  <c r="I123" i="2"/>
  <c r="S122" i="2"/>
  <c r="I122" i="2"/>
  <c r="S121" i="2"/>
  <c r="I121" i="2"/>
  <c r="S120" i="2"/>
  <c r="I120" i="2"/>
  <c r="R119" i="2"/>
  <c r="I119" i="2"/>
  <c r="K113" i="2"/>
  <c r="S113" i="2" s="1"/>
  <c r="I113" i="2"/>
  <c r="K112" i="2"/>
  <c r="S112" i="2" s="1"/>
  <c r="I112" i="2"/>
  <c r="K111" i="2"/>
  <c r="S111" i="2" s="1"/>
  <c r="I111" i="2"/>
  <c r="I3" i="2"/>
  <c r="K3" i="2"/>
  <c r="I4" i="2"/>
  <c r="K4" i="2"/>
  <c r="Q4" i="2" s="1"/>
  <c r="I5" i="2"/>
  <c r="K5" i="2"/>
  <c r="Q5" i="2" s="1"/>
  <c r="I6" i="2"/>
  <c r="K6" i="2"/>
  <c r="R6" i="2" s="1"/>
  <c r="I7" i="2"/>
  <c r="K7" i="2"/>
  <c r="S7" i="2" s="1"/>
  <c r="I8" i="2"/>
  <c r="K8" i="2"/>
  <c r="R8" i="2" s="1"/>
  <c r="I9" i="2"/>
  <c r="K9" i="2"/>
  <c r="Q9" i="2" s="1"/>
  <c r="I10" i="2"/>
  <c r="K10" i="2"/>
  <c r="Q10" i="2" s="1"/>
  <c r="I138" i="2"/>
  <c r="K138" i="2"/>
  <c r="R138" i="2" s="1"/>
  <c r="I11" i="2"/>
  <c r="K11" i="2"/>
  <c r="Q11" i="2" s="1"/>
  <c r="I12" i="2"/>
  <c r="K12" i="2"/>
  <c r="R12" i="2" s="1"/>
  <c r="I13" i="2"/>
  <c r="K13" i="2"/>
  <c r="Q13" i="2" s="1"/>
  <c r="I14" i="2"/>
  <c r="K14" i="2"/>
  <c r="R14" i="2" s="1"/>
  <c r="I15" i="2"/>
  <c r="K15" i="2"/>
  <c r="S15" i="2" s="1"/>
  <c r="I16" i="2"/>
  <c r="K16" i="2"/>
  <c r="S16" i="2" s="1"/>
  <c r="I17" i="2"/>
  <c r="K17" i="2"/>
  <c r="S17" i="2" s="1"/>
  <c r="I18" i="2"/>
  <c r="K18" i="2"/>
  <c r="Q18" i="2" s="1"/>
  <c r="I134" i="2"/>
  <c r="Q134" i="2"/>
  <c r="I136" i="2"/>
  <c r="K136" i="2"/>
  <c r="R136" i="2" s="1"/>
  <c r="I19" i="2"/>
  <c r="K19" i="2"/>
  <c r="R19" i="2" s="1"/>
  <c r="I20" i="2"/>
  <c r="K20" i="2"/>
  <c r="S20" i="2" s="1"/>
  <c r="I145" i="2"/>
  <c r="K145" i="2"/>
  <c r="Q145" i="2" s="1"/>
  <c r="I114" i="2"/>
  <c r="K114" i="2"/>
  <c r="R114" i="2" s="1"/>
  <c r="I21" i="2"/>
  <c r="K21" i="2"/>
  <c r="Q21" i="2" s="1"/>
  <c r="I22" i="2"/>
  <c r="K22" i="2"/>
  <c r="Q22" i="2" s="1"/>
  <c r="I23" i="2"/>
  <c r="K23" i="2"/>
  <c r="Q23" i="2" s="1"/>
  <c r="I24" i="2"/>
  <c r="K24" i="2"/>
  <c r="Q24" i="2" s="1"/>
  <c r="I115" i="2"/>
  <c r="K115" i="2"/>
  <c r="Q115" i="2" s="1"/>
  <c r="I139" i="2"/>
  <c r="K139" i="2"/>
  <c r="R139" i="2" s="1"/>
  <c r="I25" i="2"/>
  <c r="K25" i="2"/>
  <c r="Q25" i="2" s="1"/>
  <c r="I26" i="2"/>
  <c r="K26" i="2"/>
  <c r="Q26" i="2" s="1"/>
  <c r="I27" i="2"/>
  <c r="K27" i="2"/>
  <c r="Q27" i="2" s="1"/>
  <c r="I116" i="2"/>
  <c r="K116" i="2"/>
  <c r="R116" i="2" s="1"/>
  <c r="I28" i="2"/>
  <c r="K28" i="2"/>
  <c r="R28" i="2" s="1"/>
  <c r="I130" i="2"/>
  <c r="K130" i="2"/>
  <c r="R130" i="2" s="1"/>
  <c r="I29" i="2"/>
  <c r="K29" i="2"/>
  <c r="R29" i="2" s="1"/>
  <c r="I135" i="2"/>
  <c r="R135" i="2"/>
  <c r="I30" i="2"/>
  <c r="K30" i="2"/>
  <c r="Q30" i="2" s="1"/>
  <c r="I31" i="2"/>
  <c r="K31" i="2"/>
  <c r="R31" i="2" s="1"/>
  <c r="I131" i="2"/>
  <c r="K131" i="2"/>
  <c r="R131" i="2" s="1"/>
  <c r="I32" i="2"/>
  <c r="K32" i="2"/>
  <c r="Q32" i="2" s="1"/>
  <c r="I132" i="2"/>
  <c r="K132" i="2"/>
  <c r="Q132" i="2" s="1"/>
  <c r="I33" i="2"/>
  <c r="K33" i="2"/>
  <c r="S33" i="2" s="1"/>
  <c r="I35" i="2"/>
  <c r="K35" i="2"/>
  <c r="Q35" i="2" s="1"/>
  <c r="I36" i="2"/>
  <c r="K36" i="2"/>
  <c r="R36" i="2" s="1"/>
  <c r="I143" i="2"/>
  <c r="K143" i="2"/>
  <c r="R143" i="2" s="1"/>
  <c r="I140" i="2"/>
  <c r="K140" i="2"/>
  <c r="S140" i="2" s="1"/>
  <c r="I37" i="2"/>
  <c r="K37" i="2"/>
  <c r="S37" i="2" s="1"/>
  <c r="I38" i="2"/>
  <c r="K38" i="2"/>
  <c r="Q38" i="2" s="1"/>
  <c r="I39" i="2"/>
  <c r="K39" i="2"/>
  <c r="Q39" i="2" s="1"/>
  <c r="I117" i="2"/>
  <c r="K117" i="2"/>
  <c r="Q117" i="2" s="1"/>
  <c r="I40" i="2"/>
  <c r="K40" i="2"/>
  <c r="Q40" i="2" s="1"/>
  <c r="I41" i="2"/>
  <c r="K41" i="2"/>
  <c r="S41" i="2" s="1"/>
  <c r="I42" i="2"/>
  <c r="K42" i="2"/>
  <c r="R42" i="2" s="1"/>
  <c r="I43" i="2"/>
  <c r="K43" i="2"/>
  <c r="Q43" i="2" s="1"/>
  <c r="I44" i="2"/>
  <c r="K44" i="2"/>
  <c r="R44" i="2" s="1"/>
  <c r="I133" i="2"/>
  <c r="S133" i="2"/>
  <c r="I141" i="2"/>
  <c r="K141" i="2"/>
  <c r="S141" i="2" s="1"/>
  <c r="I45" i="2"/>
  <c r="K45" i="2"/>
  <c r="R45" i="2" s="1"/>
  <c r="I46" i="2"/>
  <c r="K46" i="2"/>
  <c r="R46" i="2" s="1"/>
  <c r="I47" i="2"/>
  <c r="K47" i="2"/>
  <c r="Q47" i="2" s="1"/>
  <c r="I48" i="2"/>
  <c r="K48" i="2"/>
  <c r="R48" i="2" s="1"/>
  <c r="I49" i="2"/>
  <c r="K49" i="2"/>
  <c r="Q49" i="2" s="1"/>
  <c r="I50" i="2"/>
  <c r="K50" i="2"/>
  <c r="R50" i="2" s="1"/>
  <c r="I51" i="2"/>
  <c r="K51" i="2"/>
  <c r="S51" i="2" s="1"/>
  <c r="I118" i="2"/>
  <c r="K118" i="2"/>
  <c r="R118" i="2" s="1"/>
  <c r="I52" i="2"/>
  <c r="K52" i="2"/>
  <c r="R52" i="2" s="1"/>
  <c r="I142" i="2"/>
  <c r="K142" i="2"/>
  <c r="R142" i="2" s="1"/>
  <c r="I53" i="2"/>
  <c r="K53" i="2"/>
  <c r="S53" i="2" s="1"/>
  <c r="I54" i="2"/>
  <c r="K54" i="2"/>
  <c r="Q54" i="2" s="1"/>
  <c r="I147" i="2"/>
  <c r="K147" i="2"/>
  <c r="Q147" i="2" s="1"/>
  <c r="I146" i="2"/>
  <c r="K146" i="2"/>
  <c r="Q146" i="2" s="1"/>
  <c r="I137" i="2"/>
  <c r="K137" i="2"/>
  <c r="S137" i="2" s="1"/>
  <c r="I55" i="2"/>
  <c r="K55" i="2"/>
  <c r="R55" i="2" s="1"/>
  <c r="I127" i="2"/>
  <c r="K127" i="2"/>
  <c r="R127" i="2" s="1"/>
  <c r="I128" i="2"/>
  <c r="K128" i="2"/>
  <c r="R128" i="2" s="1"/>
  <c r="I56" i="2"/>
  <c r="K56" i="2"/>
  <c r="S56" i="2" s="1"/>
  <c r="I57" i="2"/>
  <c r="K57" i="2"/>
  <c r="Q57" i="2" s="1"/>
  <c r="I58" i="2"/>
  <c r="K58" i="2"/>
  <c r="R58" i="2" s="1"/>
  <c r="I59" i="2"/>
  <c r="K59" i="2"/>
  <c r="Q59" i="2" s="1"/>
  <c r="I129" i="2"/>
  <c r="K129" i="2"/>
  <c r="R129" i="2" s="1"/>
  <c r="K101" i="2" l="1"/>
  <c r="P103" i="2" s="1"/>
  <c r="S3" i="2"/>
  <c r="Q51" i="2"/>
  <c r="Q60" i="2"/>
  <c r="R60" i="2"/>
  <c r="R27" i="2"/>
  <c r="Q17" i="2"/>
  <c r="S114" i="2"/>
  <c r="S119" i="2"/>
  <c r="S123" i="2"/>
  <c r="R123" i="2"/>
  <c r="Q126" i="2"/>
  <c r="S126" i="2"/>
  <c r="Q124" i="2"/>
  <c r="R124" i="2"/>
  <c r="Q125" i="2"/>
  <c r="R125" i="2"/>
  <c r="Q131" i="2"/>
  <c r="Q143" i="2"/>
  <c r="Q120" i="2"/>
  <c r="R120" i="2"/>
  <c r="Q121" i="2"/>
  <c r="Q122" i="2"/>
  <c r="Q119" i="2"/>
  <c r="R122" i="2"/>
  <c r="R121" i="2"/>
  <c r="R59" i="2"/>
  <c r="S134" i="2"/>
  <c r="R134" i="2"/>
  <c r="Q137" i="2"/>
  <c r="R53" i="2"/>
  <c r="Q141" i="2"/>
  <c r="Q53" i="2"/>
  <c r="R33" i="2"/>
  <c r="Q135" i="2"/>
  <c r="R111" i="2"/>
  <c r="Q111" i="2"/>
  <c r="Q112" i="2"/>
  <c r="R112" i="2"/>
  <c r="Q113" i="2"/>
  <c r="R113" i="2"/>
  <c r="Q48" i="2"/>
  <c r="Q42" i="2"/>
  <c r="S132" i="2"/>
  <c r="R140" i="2"/>
  <c r="Q29" i="2"/>
  <c r="S38" i="2"/>
  <c r="R137" i="2"/>
  <c r="Q14" i="2"/>
  <c r="R133" i="2"/>
  <c r="S131" i="2"/>
  <c r="S59" i="2"/>
  <c r="Q133" i="2"/>
  <c r="R57" i="2"/>
  <c r="Q52" i="2"/>
  <c r="S39" i="2"/>
  <c r="Q31" i="2"/>
  <c r="Q28" i="2"/>
  <c r="S136" i="2"/>
  <c r="R38" i="2"/>
  <c r="Q136" i="2"/>
  <c r="Q138" i="2"/>
  <c r="S11" i="2"/>
  <c r="Q55" i="2"/>
  <c r="R11" i="2"/>
  <c r="S54" i="2"/>
  <c r="R16" i="2"/>
  <c r="R141" i="2"/>
  <c r="S116" i="2"/>
  <c r="Q16" i="2"/>
  <c r="S47" i="2"/>
  <c r="R47" i="2"/>
  <c r="Q36" i="2"/>
  <c r="S25" i="2"/>
  <c r="S147" i="2"/>
  <c r="R25" i="2"/>
  <c r="Q114" i="2"/>
  <c r="R147" i="2"/>
  <c r="Q118" i="2"/>
  <c r="S28" i="2"/>
  <c r="Q142" i="2"/>
  <c r="Q41" i="2"/>
  <c r="R145" i="2"/>
  <c r="S142" i="2"/>
  <c r="Q45" i="2"/>
  <c r="S145" i="2"/>
  <c r="S43" i="2"/>
  <c r="S24" i="2"/>
  <c r="R43" i="2"/>
  <c r="S117" i="2"/>
  <c r="S135" i="2"/>
  <c r="R24" i="2"/>
  <c r="R15" i="2"/>
  <c r="R117" i="2"/>
  <c r="Q15" i="2"/>
  <c r="S31" i="2"/>
  <c r="S29" i="2"/>
  <c r="Q140" i="2"/>
  <c r="Q127" i="2"/>
  <c r="Q19" i="2"/>
  <c r="S9" i="2"/>
  <c r="S50" i="2"/>
  <c r="S45" i="2"/>
  <c r="R37" i="2"/>
  <c r="R115" i="2"/>
  <c r="R9" i="2"/>
  <c r="R20" i="2"/>
  <c r="Q20" i="2"/>
  <c r="S115" i="2"/>
  <c r="Q58" i="2"/>
  <c r="Q50" i="2"/>
  <c r="Q44" i="2"/>
  <c r="Q37" i="2"/>
  <c r="S27" i="2"/>
  <c r="R39" i="2"/>
  <c r="R132" i="2"/>
  <c r="S10" i="2"/>
  <c r="R7" i="2"/>
  <c r="S57" i="2"/>
  <c r="R51" i="2"/>
  <c r="R41" i="2"/>
  <c r="S143" i="2"/>
  <c r="R10" i="2"/>
  <c r="Q7" i="2"/>
  <c r="Q128" i="2"/>
  <c r="R3" i="2"/>
  <c r="R54" i="2"/>
  <c r="Q33" i="2"/>
  <c r="S138" i="2"/>
  <c r="Q3" i="2"/>
  <c r="Q8" i="2"/>
  <c r="S146" i="2"/>
  <c r="S49" i="2"/>
  <c r="S26" i="2"/>
  <c r="S21" i="2"/>
  <c r="S13" i="2"/>
  <c r="S129" i="2"/>
  <c r="R56" i="2"/>
  <c r="R146" i="2"/>
  <c r="S118" i="2"/>
  <c r="R49" i="2"/>
  <c r="S36" i="2"/>
  <c r="R26" i="2"/>
  <c r="R21" i="2"/>
  <c r="R13" i="2"/>
  <c r="Q129" i="2"/>
  <c r="Q56" i="2"/>
  <c r="Q116" i="2"/>
  <c r="Q12" i="2"/>
  <c r="S35" i="2"/>
  <c r="S32" i="2"/>
  <c r="Q139" i="2"/>
  <c r="S23" i="2"/>
  <c r="S19" i="2"/>
  <c r="R17" i="2"/>
  <c r="S4" i="2"/>
  <c r="S58" i="2"/>
  <c r="S127" i="2"/>
  <c r="S46" i="2"/>
  <c r="R35" i="2"/>
  <c r="R32" i="2"/>
  <c r="R23" i="2"/>
  <c r="S14" i="2"/>
  <c r="Q6" i="2"/>
  <c r="R4" i="2"/>
  <c r="Q46" i="2"/>
  <c r="Q130" i="2"/>
  <c r="S128" i="2"/>
  <c r="S48" i="2"/>
  <c r="S44" i="2"/>
  <c r="S130" i="2"/>
  <c r="S139" i="2"/>
  <c r="S18" i="2"/>
  <c r="S12" i="2"/>
  <c r="S8" i="2"/>
  <c r="R18" i="2"/>
  <c r="S40" i="2"/>
  <c r="S30" i="2"/>
  <c r="S22" i="2"/>
  <c r="S5" i="2"/>
  <c r="S55" i="2"/>
  <c r="S52" i="2"/>
  <c r="S42" i="2"/>
  <c r="R40" i="2"/>
  <c r="R30" i="2"/>
  <c r="R22" i="2"/>
  <c r="S6" i="2"/>
  <c r="R5" i="2"/>
  <c r="S103" i="2" l="1"/>
  <c r="I103" i="2"/>
  <c r="J101" i="2"/>
  <c r="M101" i="2"/>
  <c r="M103" i="2" s="1"/>
</calcChain>
</file>

<file path=xl/sharedStrings.xml><?xml version="1.0" encoding="utf-8"?>
<sst xmlns="http://schemas.openxmlformats.org/spreadsheetml/2006/main" count="959" uniqueCount="536">
  <si>
    <t>Parcel Number</t>
  </si>
  <si>
    <t>Street Address</t>
  </si>
  <si>
    <t>Sale Date</t>
  </si>
  <si>
    <t>Sale Price</t>
  </si>
  <si>
    <t>Instr.</t>
  </si>
  <si>
    <t>Terms of Sale</t>
  </si>
  <si>
    <t>Adj. Sale $</t>
  </si>
  <si>
    <t>Asd. when Sold</t>
  </si>
  <si>
    <t>Asd/Adj. Sale</t>
  </si>
  <si>
    <t>Cur. Appraisal</t>
  </si>
  <si>
    <t>Land Residual</t>
  </si>
  <si>
    <t>Est. Land Value</t>
  </si>
  <si>
    <t>Effec. Front</t>
  </si>
  <si>
    <t>Depth</t>
  </si>
  <si>
    <t>Net Acres</t>
  </si>
  <si>
    <t>Total Acres</t>
  </si>
  <si>
    <t>Dollars/FF</t>
  </si>
  <si>
    <t>Dollars/Acre</t>
  </si>
  <si>
    <t>Dollars/SqFt</t>
  </si>
  <si>
    <t>Actual Front</t>
  </si>
  <si>
    <t>Liber/Page</t>
  </si>
  <si>
    <t>Other Parcels in Sale</t>
  </si>
  <si>
    <t>Land Table</t>
  </si>
  <si>
    <t>020-001-000-1700-00</t>
  </si>
  <si>
    <t>4300 WASHBURN</t>
  </si>
  <si>
    <t>WD</t>
  </si>
  <si>
    <t>03-ARM'S LENGTH</t>
  </si>
  <si>
    <t>1561/762</t>
  </si>
  <si>
    <t>RESIDENTIAL ACREAGE</t>
  </si>
  <si>
    <t>QC</t>
  </si>
  <si>
    <t>09-FAMILY/RELATED ENTITY</t>
  </si>
  <si>
    <t>020-004-000-0200-08</t>
  </si>
  <si>
    <t>4182 CAINE</t>
  </si>
  <si>
    <t>1530/1353</t>
  </si>
  <si>
    <t>020-004-000-0200-11</t>
  </si>
  <si>
    <t>CAINE</t>
  </si>
  <si>
    <t>1560/1216</t>
  </si>
  <si>
    <t>020-006-000-1900-00</t>
  </si>
  <si>
    <t>4375 VASSAR</t>
  </si>
  <si>
    <t>1555/936</t>
  </si>
  <si>
    <t>020-006-400-0200-00</t>
  </si>
  <si>
    <t>4482 KIRK</t>
  </si>
  <si>
    <t>1539/266</t>
  </si>
  <si>
    <t>020-006-400-0800-00</t>
  </si>
  <si>
    <t>4464 KIRK</t>
  </si>
  <si>
    <t>1554/757</t>
  </si>
  <si>
    <t>MLC</t>
  </si>
  <si>
    <t>020-006-400-1350-00</t>
  </si>
  <si>
    <t>4368 KIRK</t>
  </si>
  <si>
    <t>1550/770</t>
  </si>
  <si>
    <t>020-008-000-2000-00</t>
  </si>
  <si>
    <t>SAGINAW</t>
  </si>
  <si>
    <t>1529/979</t>
  </si>
  <si>
    <t>020-009-000-0700-07</t>
  </si>
  <si>
    <t>4747 O'BRIEN</t>
  </si>
  <si>
    <t>1541/1358</t>
  </si>
  <si>
    <t>HESS</t>
  </si>
  <si>
    <t>1552/366</t>
  </si>
  <si>
    <t>020-009-000-2000-13</t>
  </si>
  <si>
    <t>4524 CAINE</t>
  </si>
  <si>
    <t>1539/264</t>
  </si>
  <si>
    <t>020-009-000-2100-01</t>
  </si>
  <si>
    <t>4750 WALTAN</t>
  </si>
  <si>
    <t>1559/1219</t>
  </si>
  <si>
    <t>020-010-000-1900-02</t>
  </si>
  <si>
    <t>4070 WALTAN</t>
  </si>
  <si>
    <t>1541/944</t>
  </si>
  <si>
    <t>020-011-000-0250-02</t>
  </si>
  <si>
    <t>4550 SHERIDAN</t>
  </si>
  <si>
    <t>1563/336</t>
  </si>
  <si>
    <t>020-011-000-0460-00</t>
  </si>
  <si>
    <t>SHERIDAN</t>
  </si>
  <si>
    <t>1565/989</t>
  </si>
  <si>
    <t>020-011-000-1025-00</t>
  </si>
  <si>
    <t>3700 WALTAN</t>
  </si>
  <si>
    <t>1549/265</t>
  </si>
  <si>
    <t>020-011-000-1600-00</t>
  </si>
  <si>
    <t>4975 OAK</t>
  </si>
  <si>
    <t>1533/838</t>
  </si>
  <si>
    <t>020-012-000-1000-02</t>
  </si>
  <si>
    <t>1532/690</t>
  </si>
  <si>
    <t>020-012-000-1100-00</t>
  </si>
  <si>
    <t>4845 SHERIDAN</t>
  </si>
  <si>
    <t>1538/1012</t>
  </si>
  <si>
    <t>020-012-000-1200-00</t>
  </si>
  <si>
    <t>4875 SHERIDAN</t>
  </si>
  <si>
    <t>10-FORECLOSURE</t>
  </si>
  <si>
    <t>1559/207</t>
  </si>
  <si>
    <t>020-014-000-0160-01</t>
  </si>
  <si>
    <t>5330 SHERIDAN</t>
  </si>
  <si>
    <t>1533/602</t>
  </si>
  <si>
    <t>PTA</t>
  </si>
  <si>
    <t>1543/1479</t>
  </si>
  <si>
    <t>020-014-000-0550-00</t>
  </si>
  <si>
    <t>5055 OAK</t>
  </si>
  <si>
    <t>1554/1085</t>
  </si>
  <si>
    <t>020-014-000-1200-00</t>
  </si>
  <si>
    <t>3866 SAGINAW</t>
  </si>
  <si>
    <t>1552/431</t>
  </si>
  <si>
    <t>020-014-000-1500-00</t>
  </si>
  <si>
    <t>3754 SAGINAW RD</t>
  </si>
  <si>
    <t>1539/1084</t>
  </si>
  <si>
    <t>020-014-000-1600-00</t>
  </si>
  <si>
    <t>3818 SAGINAW</t>
  </si>
  <si>
    <t>1559/414</t>
  </si>
  <si>
    <t>020-014-000-2020-00</t>
  </si>
  <si>
    <t>5869 OAK</t>
  </si>
  <si>
    <t>1540/563</t>
  </si>
  <si>
    <t>020-014-000-2600-03</t>
  </si>
  <si>
    <t>SCENIC</t>
  </si>
  <si>
    <t>21-NOT USED/OTHER</t>
  </si>
  <si>
    <t>1540/615</t>
  </si>
  <si>
    <t>1545/429</t>
  </si>
  <si>
    <t>020-014-000-4400-00</t>
  </si>
  <si>
    <t>6020 SHERIDAN</t>
  </si>
  <si>
    <t>1542/314</t>
  </si>
  <si>
    <t>020-015-000-3900-02</t>
  </si>
  <si>
    <t>4427 SAGINAW</t>
  </si>
  <si>
    <t>1544/266</t>
  </si>
  <si>
    <t>020-016-000-0500-00</t>
  </si>
  <si>
    <t>4705 WALTAN</t>
  </si>
  <si>
    <t>1568/900</t>
  </si>
  <si>
    <t>020-016-000-1200-00</t>
  </si>
  <si>
    <t>4679 SAGINAW</t>
  </si>
  <si>
    <t>1567/1259</t>
  </si>
  <si>
    <t>020-016-000-3400-00</t>
  </si>
  <si>
    <t>4539 SAGINAW</t>
  </si>
  <si>
    <t>1538/1205</t>
  </si>
  <si>
    <t>020-016-000-3750-01</t>
  </si>
  <si>
    <t>4910 SAGINAW</t>
  </si>
  <si>
    <t>1544/782</t>
  </si>
  <si>
    <t>SD</t>
  </si>
  <si>
    <t>1571/311</t>
  </si>
  <si>
    <t>020-016-000-5350-00</t>
  </si>
  <si>
    <t>4720 RUPPRECHT</t>
  </si>
  <si>
    <t>1538/541</t>
  </si>
  <si>
    <t>020-016-000-5600-00</t>
  </si>
  <si>
    <t>5780 CAINE</t>
  </si>
  <si>
    <t>1559/208</t>
  </si>
  <si>
    <t>020-017-000-2600-05</t>
  </si>
  <si>
    <t>5466 RUPPRECHT</t>
  </si>
  <si>
    <t>1535/862</t>
  </si>
  <si>
    <t>020-018-200-0400-00</t>
  </si>
  <si>
    <t>815 S STATE</t>
  </si>
  <si>
    <t>1553/1370</t>
  </si>
  <si>
    <t>020-018-231-0500-00</t>
  </si>
  <si>
    <t>5657 VASSAR</t>
  </si>
  <si>
    <t>1538/325</t>
  </si>
  <si>
    <t>020-018-233-0500-00</t>
  </si>
  <si>
    <t>5686 JAMES</t>
  </si>
  <si>
    <t>1550/294</t>
  </si>
  <si>
    <t>020-019-000-1100-00</t>
  </si>
  <si>
    <t>6067 STATE</t>
  </si>
  <si>
    <t>1553/1310</t>
  </si>
  <si>
    <t>020-019-000-1770-00</t>
  </si>
  <si>
    <t>6364 STATE</t>
  </si>
  <si>
    <t>1561/126</t>
  </si>
  <si>
    <t>020-019-000-1780-00</t>
  </si>
  <si>
    <t>6320 STATE</t>
  </si>
  <si>
    <t>1542/1483</t>
  </si>
  <si>
    <t>020-019-250-1700-00</t>
  </si>
  <si>
    <t>6240 OAK AVE</t>
  </si>
  <si>
    <t>1542/880</t>
  </si>
  <si>
    <t>020-020-000-1325-00</t>
  </si>
  <si>
    <t>5036 HANES</t>
  </si>
  <si>
    <t>1563/887</t>
  </si>
  <si>
    <t>1567/1017</t>
  </si>
  <si>
    <t>020-022-000-0100-02</t>
  </si>
  <si>
    <t>6188 OAK RD</t>
  </si>
  <si>
    <t>1536/108</t>
  </si>
  <si>
    <t>020-022-000-1100-08</t>
  </si>
  <si>
    <t>6345 CAINE</t>
  </si>
  <si>
    <t>1536/1222</t>
  </si>
  <si>
    <t>020-023-000-1900-02</t>
  </si>
  <si>
    <t>6113 OAK</t>
  </si>
  <si>
    <t>1559/209</t>
  </si>
  <si>
    <t>020-023-000-1900-03, 020-023-000-1900-04, 020-023-000-1900-05</t>
  </si>
  <si>
    <t>020-023-000-1900-03</t>
  </si>
  <si>
    <t>OAK</t>
  </si>
  <si>
    <t>020-023-000-1900-02, 020-023-000-1900-04, 020-023-000-1900-05</t>
  </si>
  <si>
    <t>020-023-000-1900-04</t>
  </si>
  <si>
    <t>020-023-000-1900-03, 020-023-000-1900-02, 020-023-000-1900-05</t>
  </si>
  <si>
    <t>020-023-000-1900-05</t>
  </si>
  <si>
    <t>020-023-000-1900-03, 020-023-000-1900-04, 020-023-000-1900-02</t>
  </si>
  <si>
    <t>020-023-000-3700-00</t>
  </si>
  <si>
    <t>3906 HANES</t>
  </si>
  <si>
    <t>1551/1490</t>
  </si>
  <si>
    <t>020-023-000-3900-00</t>
  </si>
  <si>
    <t>3960 HANES</t>
  </si>
  <si>
    <t>1530/412</t>
  </si>
  <si>
    <t>020-023-000-4100-00</t>
  </si>
  <si>
    <t>6313 MAPLE</t>
  </si>
  <si>
    <t>1565/708</t>
  </si>
  <si>
    <t>020-026-000-2300-01</t>
  </si>
  <si>
    <t>3558 BROWN RD</t>
  </si>
  <si>
    <t>1535/727</t>
  </si>
  <si>
    <t>020-026-000-2600-06</t>
  </si>
  <si>
    <t>6990 TWIN CREEK</t>
  </si>
  <si>
    <t>1540/676</t>
  </si>
  <si>
    <t>020-026-000-2600-11</t>
  </si>
  <si>
    <t>6972 TWIN CREEK</t>
  </si>
  <si>
    <t>1571/600</t>
  </si>
  <si>
    <t>020-026-000-2600-12</t>
  </si>
  <si>
    <t>6950 TWIN CREEK</t>
  </si>
  <si>
    <t>1551/1178</t>
  </si>
  <si>
    <t>020-027-000-0700-15</t>
  </si>
  <si>
    <t>6989 MAPLE GROVE</t>
  </si>
  <si>
    <t>1532/1257</t>
  </si>
  <si>
    <t>020-027-000-0701-05</t>
  </si>
  <si>
    <t>4316 BROWN</t>
  </si>
  <si>
    <t>1532/761</t>
  </si>
  <si>
    <t>020-027-000-1700-00</t>
  </si>
  <si>
    <t>4122 BROWN RD</t>
  </si>
  <si>
    <t>1545/246</t>
  </si>
  <si>
    <t>020-028-000-1000-00</t>
  </si>
  <si>
    <t>6755 HESS</t>
  </si>
  <si>
    <t>1552/1130</t>
  </si>
  <si>
    <t>020-030-000-0100-03</t>
  </si>
  <si>
    <t>6549 STATE</t>
  </si>
  <si>
    <t>1563/1195</t>
  </si>
  <si>
    <t>020-030-000-1000-00</t>
  </si>
  <si>
    <t>5665 HANES</t>
  </si>
  <si>
    <t>1568/1263</t>
  </si>
  <si>
    <t>29-SELLERS INTEREST IN A LC</t>
  </si>
  <si>
    <t>020-030-000-3700-02</t>
  </si>
  <si>
    <t>STATE</t>
  </si>
  <si>
    <t>1570/1001</t>
  </si>
  <si>
    <t>020-030-000-5100-00</t>
  </si>
  <si>
    <t>5681 HANES</t>
  </si>
  <si>
    <t>1564/1239</t>
  </si>
  <si>
    <t>020-030-000-5300-00</t>
  </si>
  <si>
    <t>5677 FREEWALD</t>
  </si>
  <si>
    <t>1551/372</t>
  </si>
  <si>
    <t>020-030-000-7300-00</t>
  </si>
  <si>
    <t>5782 HASCO</t>
  </si>
  <si>
    <t>1558/1473</t>
  </si>
  <si>
    <t>020-030-000-7600-06</t>
  </si>
  <si>
    <t>5784 ORMES</t>
  </si>
  <si>
    <t>1561/1208</t>
  </si>
  <si>
    <t>020-030-000-7600-14</t>
  </si>
  <si>
    <t>5770 ORMES</t>
  </si>
  <si>
    <t>1559/1043</t>
  </si>
  <si>
    <t>020-030-000-8100-00</t>
  </si>
  <si>
    <t>5973 HASCO</t>
  </si>
  <si>
    <t>1550/97</t>
  </si>
  <si>
    <t>020-030-000-8600-00</t>
  </si>
  <si>
    <t>6757 VASSAR</t>
  </si>
  <si>
    <t>1553/742</t>
  </si>
  <si>
    <t>020-031-000-0400-01</t>
  </si>
  <si>
    <t>7060 IRISH</t>
  </si>
  <si>
    <t>1561/932</t>
  </si>
  <si>
    <t>020-031-000-2250-00</t>
  </si>
  <si>
    <t>7335 VASSAR</t>
  </si>
  <si>
    <t>1550/94</t>
  </si>
  <si>
    <t>020-031-000-3000-00</t>
  </si>
  <si>
    <t>IRISH</t>
  </si>
  <si>
    <t>1557/450</t>
  </si>
  <si>
    <t>020-031-700-2200-01</t>
  </si>
  <si>
    <t>7364 IRISH</t>
  </si>
  <si>
    <t>020-031-700-2300-00</t>
  </si>
  <si>
    <t>7310 IRISH</t>
  </si>
  <si>
    <t>19-MULTI PARCEL ARM'S LENGTH</t>
  </si>
  <si>
    <t>1569/1179</t>
  </si>
  <si>
    <t>020-031-700-2800-00</t>
  </si>
  <si>
    <t>020-032-000-0100-02</t>
  </si>
  <si>
    <t>7100 HESS</t>
  </si>
  <si>
    <t>LC</t>
  </si>
  <si>
    <t>020-032-000-1000-03</t>
  </si>
  <si>
    <t>5343 BROWN</t>
  </si>
  <si>
    <t>1546/312</t>
  </si>
  <si>
    <t>020-032-000-1025-00</t>
  </si>
  <si>
    <t>5285 BROWN</t>
  </si>
  <si>
    <t>1564/870</t>
  </si>
  <si>
    <t>020-032-000-1075-00</t>
  </si>
  <si>
    <t>5315 BROWN</t>
  </si>
  <si>
    <t>1532/16</t>
  </si>
  <si>
    <t>020-032-000-1850-12</t>
  </si>
  <si>
    <t>STATE RD (M-15) &amp; IRISH</t>
  </si>
  <si>
    <t>1554/359</t>
  </si>
  <si>
    <t>020-032-000-2200-01</t>
  </si>
  <si>
    <t>7102 STATE</t>
  </si>
  <si>
    <t>1568/669</t>
  </si>
  <si>
    <t>020-032-000-2700-00</t>
  </si>
  <si>
    <t>5276 SWAFFER</t>
  </si>
  <si>
    <t>1569/1453</t>
  </si>
  <si>
    <t>020-033-000-0900-03</t>
  </si>
  <si>
    <t>4665 BROWN</t>
  </si>
  <si>
    <t>1562/1277</t>
  </si>
  <si>
    <t>020-033-000-1700-00</t>
  </si>
  <si>
    <t>7214 CAINE</t>
  </si>
  <si>
    <t>1534/1422</t>
  </si>
  <si>
    <t>1549/1060</t>
  </si>
  <si>
    <t>020-033-000-1900-00</t>
  </si>
  <si>
    <t>4529 BROWN</t>
  </si>
  <si>
    <t>1535/170</t>
  </si>
  <si>
    <t>020-033-000-2900-00</t>
  </si>
  <si>
    <t>4743 BROWN</t>
  </si>
  <si>
    <t>1546/869</t>
  </si>
  <si>
    <t>1556/209</t>
  </si>
  <si>
    <t>020-033-000-4900-01</t>
  </si>
  <si>
    <t>020-034-000-0600-01</t>
  </si>
  <si>
    <t>4431 BROWN</t>
  </si>
  <si>
    <t>1559/1196</t>
  </si>
  <si>
    <t>020-034-000-1650-00</t>
  </si>
  <si>
    <t>7332 OAK</t>
  </si>
  <si>
    <t>1535/589</t>
  </si>
  <si>
    <t>020-035-000-1900-00</t>
  </si>
  <si>
    <t>7035 OAK</t>
  </si>
  <si>
    <t>1533/478</t>
  </si>
  <si>
    <t>020-036-000-1800-00</t>
  </si>
  <si>
    <t>7279 SHERIDAN</t>
  </si>
  <si>
    <t>1549/1087</t>
  </si>
  <si>
    <t>Totals:</t>
  </si>
  <si>
    <t>Sale. Ratio =&gt;</t>
  </si>
  <si>
    <t>Average</t>
  </si>
  <si>
    <t>Std. Dev. =&gt;</t>
  </si>
  <si>
    <t>per FF=&gt;</t>
  </si>
  <si>
    <t>per Net Acre=&gt;</t>
  </si>
  <si>
    <t>per SqFt=&gt;</t>
  </si>
  <si>
    <t>Outliers</t>
  </si>
  <si>
    <t xml:space="preserve">Comments </t>
  </si>
  <si>
    <t>E SANILAC RD</t>
  </si>
  <si>
    <t>LEE HILL DR</t>
  </si>
  <si>
    <t>3288 ELBOB LN</t>
  </si>
  <si>
    <t>6677 PLAIN RD</t>
  </si>
  <si>
    <t>DODGE RD</t>
  </si>
  <si>
    <t>3260 E. DECKERVILLE RD.</t>
  </si>
  <si>
    <t>GREEN RD</t>
  </si>
  <si>
    <t>WESTERN RIDGE</t>
  </si>
  <si>
    <t>1554/1498</t>
  </si>
  <si>
    <t>1568/9</t>
  </si>
  <si>
    <t>1568/503</t>
  </si>
  <si>
    <t>1558/1389</t>
  </si>
  <si>
    <t>1555/623</t>
  </si>
  <si>
    <t>1552/922</t>
  </si>
  <si>
    <t>1567/435</t>
  </si>
  <si>
    <t>1550/867</t>
  </si>
  <si>
    <t>1561/1123</t>
  </si>
  <si>
    <t>013-009-100-0200-12</t>
  </si>
  <si>
    <t>RMLS 123-24-0012</t>
  </si>
  <si>
    <t>LISTED 09.11.24 $245K</t>
  </si>
  <si>
    <t>LISTED 01.03.25 $80K</t>
  </si>
  <si>
    <t xml:space="preserve">LISTED 08.20.24 </t>
  </si>
  <si>
    <t>RMLS 835-24-0019</t>
  </si>
  <si>
    <t>LISTED 03.13.24 $240K</t>
  </si>
  <si>
    <t>RMLS 871-24-0009</t>
  </si>
  <si>
    <t>2 SUBDIVISION LOTS</t>
  </si>
  <si>
    <t>1 SUBDIVISION LOT</t>
  </si>
  <si>
    <t>GUN CLUB RD</t>
  </si>
  <si>
    <t>MERTZ RD</t>
  </si>
  <si>
    <t>LEIX RD</t>
  </si>
  <si>
    <t>WATERMAN RD</t>
  </si>
  <si>
    <t>KILE</t>
  </si>
  <si>
    <t>RILEY RD</t>
  </si>
  <si>
    <t>SILVERNAIL RD</t>
  </si>
  <si>
    <t>LEGG RD</t>
  </si>
  <si>
    <t>PART OF</t>
  </si>
  <si>
    <t>N/A</t>
  </si>
  <si>
    <t>1550/970</t>
  </si>
  <si>
    <t>1552/1299</t>
  </si>
  <si>
    <t>1568/249</t>
  </si>
  <si>
    <t>1559/225</t>
  </si>
  <si>
    <t>1557/789</t>
  </si>
  <si>
    <t>1553/729</t>
  </si>
  <si>
    <t>1564/239</t>
  </si>
  <si>
    <t>1556/988</t>
  </si>
  <si>
    <t>1566/464</t>
  </si>
  <si>
    <t>1566/1256</t>
  </si>
  <si>
    <t>RMLS 010-24-0006</t>
  </si>
  <si>
    <t>LISTED 01.05.25 $18K</t>
  </si>
  <si>
    <t>RMLS 038-24-0057</t>
  </si>
  <si>
    <t>RMLS 410-24-0009</t>
  </si>
  <si>
    <t>RMLS 835-24-0015</t>
  </si>
  <si>
    <t>RMLS 835-24-0016</t>
  </si>
  <si>
    <t>RMLS 649-24-0005</t>
  </si>
  <si>
    <t>RMLS 869-24-0013</t>
  </si>
  <si>
    <t>LISTED 12.02.24 $22,800</t>
  </si>
  <si>
    <t>BRIEF RD</t>
  </si>
  <si>
    <t>MAYVILLE RD</t>
  </si>
  <si>
    <t>HANLAN RD</t>
  </si>
  <si>
    <t>CHIPPEWA TRAIL</t>
  </si>
  <si>
    <t>SOHN RD</t>
  </si>
  <si>
    <t>CAINE RD</t>
  </si>
  <si>
    <t>HESS RD</t>
  </si>
  <si>
    <t>SHERIDAN RD</t>
  </si>
  <si>
    <t>MULTI-PARCEL ARMS LENGTH</t>
  </si>
  <si>
    <t>ARMS LENGTH</t>
  </si>
  <si>
    <t>1568/970</t>
  </si>
  <si>
    <t>1565/1429</t>
  </si>
  <si>
    <t>1559/1419</t>
  </si>
  <si>
    <t>1565/542</t>
  </si>
  <si>
    <t>1567/510</t>
  </si>
  <si>
    <t>1560/1220</t>
  </si>
  <si>
    <t>018-003-000-0200-07</t>
  </si>
  <si>
    <t>RMLS 173-24-0024</t>
  </si>
  <si>
    <t>LISTED 12.03.24 $129,900</t>
  </si>
  <si>
    <t>LISTED 10.27.24</t>
  </si>
  <si>
    <t>LISTED 11.01.24 $50K</t>
  </si>
  <si>
    <t>LISTED 05.17.24 $97,750</t>
  </si>
  <si>
    <t>LISTED 05.17.23 $149,900</t>
  </si>
  <si>
    <t>BARNES RD</t>
  </si>
  <si>
    <t>GOODRICH RD</t>
  </si>
  <si>
    <t>PIERCE</t>
  </si>
  <si>
    <t>BEVENS</t>
  </si>
  <si>
    <t>3976 PINE RD</t>
  </si>
  <si>
    <t xml:space="preserve">UNDERWOOD </t>
  </si>
  <si>
    <t>ALEXANDER LN</t>
  </si>
  <si>
    <t>WHITETAIL PROPS</t>
  </si>
  <si>
    <t>LISTED 01.26.24 $12K</t>
  </si>
  <si>
    <t>RMLS 649-24-0011</t>
  </si>
  <si>
    <t>RMLS 038-24-0072</t>
  </si>
  <si>
    <t xml:space="preserve">LISTED 08.13.24 </t>
  </si>
  <si>
    <t>RMLS 493-24-0001</t>
  </si>
  <si>
    <t>LISTED 05.27.24 $39,900</t>
  </si>
  <si>
    <t>MLS 61050125323</t>
  </si>
  <si>
    <t>1566/1469</t>
  </si>
  <si>
    <t>1550/107</t>
  </si>
  <si>
    <t>1568/690</t>
  </si>
  <si>
    <t>1561/400</t>
  </si>
  <si>
    <t>1564/184</t>
  </si>
  <si>
    <t>1565/454</t>
  </si>
  <si>
    <t>1553/1021</t>
  </si>
  <si>
    <t>1557/839</t>
  </si>
  <si>
    <t>051-007-000-0570-00</t>
  </si>
  <si>
    <t xml:space="preserve">*Indicates Vacant Land Sale Used in Tuscola County Land Studies  </t>
  </si>
  <si>
    <t>005-001-000-0300-04*</t>
  </si>
  <si>
    <t>005-005-000-4100-01*</t>
  </si>
  <si>
    <t>005-021-000-0800-00*</t>
  </si>
  <si>
    <t>005-035-000-1200-00*</t>
  </si>
  <si>
    <t>008-025-000-0100-07*</t>
  </si>
  <si>
    <t>008-033-000-0400-00*</t>
  </si>
  <si>
    <t>009-022-000-0200-04*</t>
  </si>
  <si>
    <t>013-009-100-0200-11*</t>
  </si>
  <si>
    <t>013-009-100-0200-14*</t>
  </si>
  <si>
    <t>013-009-100-0200-16*</t>
  </si>
  <si>
    <t>013-011-200-0525-05*</t>
  </si>
  <si>
    <t>013-022-400-0200-02*</t>
  </si>
  <si>
    <t>013-033-300-0510-00*</t>
  </si>
  <si>
    <t>014-031-000-1700-00*</t>
  </si>
  <si>
    <t>014-036-000-3600-01*</t>
  </si>
  <si>
    <t>014-036-000-3600-02*</t>
  </si>
  <si>
    <t>015-018-000-0300-02*</t>
  </si>
  <si>
    <t>015-019-000-0575-01*</t>
  </si>
  <si>
    <t>015-026-000-0400-11*</t>
  </si>
  <si>
    <t>016-012-000-1700-03*</t>
  </si>
  <si>
    <t>016-030-000-1400-02*</t>
  </si>
  <si>
    <t>017-036-000-1550-04*</t>
  </si>
  <si>
    <t>018-003-000-0200-03*</t>
  </si>
  <si>
    <t>019-023-000-1800-00*</t>
  </si>
  <si>
    <t>020-009-000-1625-02*</t>
  </si>
  <si>
    <t>020-004-000-0200-10*</t>
  </si>
  <si>
    <t>020-013-000-2100-00*</t>
  </si>
  <si>
    <t>021-024-000-2500-00*</t>
  </si>
  <si>
    <t>021-028-000-1750-03*</t>
  </si>
  <si>
    <t>022-018-000-1600-00*</t>
  </si>
  <si>
    <t>022-021-000-0300-01*</t>
  </si>
  <si>
    <t>022-022-000-2475-02*</t>
  </si>
  <si>
    <t>022-029-000-0600-07*</t>
  </si>
  <si>
    <t>051-007-000-0580-00*</t>
  </si>
  <si>
    <t>BIRCH RUN RD</t>
  </si>
  <si>
    <t>1548/530</t>
  </si>
  <si>
    <t>1731 AMBROSE RD</t>
  </si>
  <si>
    <t>1544/824</t>
  </si>
  <si>
    <t>RMLS 799-23-0063</t>
  </si>
  <si>
    <t>LISTED 10.20.23 $40K</t>
  </si>
  <si>
    <t>CHAMBERS RD</t>
  </si>
  <si>
    <t>1542/1029</t>
  </si>
  <si>
    <t>RMLS 038-23-0020</t>
  </si>
  <si>
    <t>SNOVER RD</t>
  </si>
  <si>
    <t>1544/1101</t>
  </si>
  <si>
    <t>LISTED 10.20.23 $119,900</t>
  </si>
  <si>
    <t>SAGINAW RD</t>
  </si>
  <si>
    <t>1530/480</t>
  </si>
  <si>
    <t>REMAX LISTED</t>
  </si>
  <si>
    <t>1529/826</t>
  </si>
  <si>
    <t>LISTED 04.04.22 $60K</t>
  </si>
  <si>
    <t>BROWN RD</t>
  </si>
  <si>
    <t>EAST DAYTON RD</t>
  </si>
  <si>
    <t>1546/1257</t>
  </si>
  <si>
    <t>1538/159</t>
  </si>
  <si>
    <t>RMLS 781-24-0003</t>
  </si>
  <si>
    <t>RMLS 665-23-0001</t>
  </si>
  <si>
    <t>GRADY RD</t>
  </si>
  <si>
    <t>2946 ATKERSON DR</t>
  </si>
  <si>
    <t>1544/1184</t>
  </si>
  <si>
    <t>RMLS 038-23-0055</t>
  </si>
  <si>
    <t>1541/868</t>
  </si>
  <si>
    <t>LISTED 09.19.23 $169,900</t>
  </si>
  <si>
    <t>RUPPRECHT RD</t>
  </si>
  <si>
    <t>EDWARD RD</t>
  </si>
  <si>
    <t>FOSTORIA RD</t>
  </si>
  <si>
    <t>FRANKFORD/HURDS CORNER</t>
  </si>
  <si>
    <t xml:space="preserve">HURDS CORNER </t>
  </si>
  <si>
    <t>UNDERWOOD RD</t>
  </si>
  <si>
    <t xml:space="preserve">MULTI-PARCEL  </t>
  </si>
  <si>
    <t>MULTI-PARCEL</t>
  </si>
  <si>
    <t>1535/368</t>
  </si>
  <si>
    <t>1532/663</t>
  </si>
  <si>
    <t>1531/818</t>
  </si>
  <si>
    <t>1536/53</t>
  </si>
  <si>
    <t>1533/63</t>
  </si>
  <si>
    <t>1548/112</t>
  </si>
  <si>
    <t>1547/193</t>
  </si>
  <si>
    <t>1535/286</t>
  </si>
  <si>
    <t>021-024-000-1600-01</t>
  </si>
  <si>
    <t>022-028-000-2300-00</t>
  </si>
  <si>
    <t>RMLS 038-22-0020</t>
  </si>
  <si>
    <t>LISTED 04.03.23 $24,900</t>
  </si>
  <si>
    <t>RMLS 649-23-0006</t>
  </si>
  <si>
    <t>RMLS 068-23-0009</t>
  </si>
  <si>
    <t>LISTED 12.13.22 $39,700</t>
  </si>
  <si>
    <t>RMLS 038-24-0011</t>
  </si>
  <si>
    <t>LISTED 12.20.23 $324,900</t>
  </si>
  <si>
    <t>POSTED FOR SALE</t>
  </si>
  <si>
    <t>LYNCH DR</t>
  </si>
  <si>
    <t>1530/11</t>
  </si>
  <si>
    <t>LISTED 2020-2022 $20K</t>
  </si>
  <si>
    <t>003-029-200-0220-00*</t>
  </si>
  <si>
    <t>011-009-000-1700-11*</t>
  </si>
  <si>
    <t>011-020-000-1410-00*</t>
  </si>
  <si>
    <t>011-020-000-2600-10*</t>
  </si>
  <si>
    <t>011-030-000-0760-01*</t>
  </si>
  <si>
    <t>011-030-000-0760-02*</t>
  </si>
  <si>
    <t>011-034-000-2200-01*</t>
  </si>
  <si>
    <t>013-001-400-0100-05*</t>
  </si>
  <si>
    <t>013-013-100-0300-00*</t>
  </si>
  <si>
    <t>013-030-400-0300-08*</t>
  </si>
  <si>
    <t>020-022-000-0475-02*</t>
  </si>
  <si>
    <t>020-034-000-0800-02*</t>
  </si>
  <si>
    <t>021-024-000-1700-03*</t>
  </si>
  <si>
    <t>021-026-000-0700-02*</t>
  </si>
  <si>
    <t>021-036-000-2500-01*</t>
  </si>
  <si>
    <t>022-009-000-0300-00*</t>
  </si>
  <si>
    <t>022-028-000-2700-00*</t>
  </si>
  <si>
    <t>022-032-000-0800-00*</t>
  </si>
  <si>
    <t>040-025-000-5000-01*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</si>
</sst>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6" formatCode="&quot;$&quot;#,##0_);[Red]\(&quot;$&quot;#,##0\)"/>
    <numFmt numFmtId="8" formatCode="&quot;$&quot;#,##0.00_);[Red]\(&quot;$&quot;#,##0.00\)"/>
    <numFmt numFmtId="42" formatCode="_(&quot;$&quot;* #,##0_);_(&quot;$&quot;* \(#,##0\);_(&quot;$&quot;* &quot;-&quot;_);_(@_)"/>
    <numFmt numFmtId="164" formatCode="#0.00_);[Red]\(#0.00\)"/>
    <numFmt numFmtId="165" formatCode="mm/dd/yy"/>
    <numFmt numFmtId="166" formatCode="#,##0.0_);[Red]\(#,##0.0\)"/>
    <numFmt numFmtId="167" formatCode="#0.0_);[Red]\(#0.0\)"/>
    <numFmt numFmtId="168" formatCode="&quot;$&quot;#,##0_);[Red]\(&quot;$&quot;#,##0.00\)"/>
    <numFmt numFmtId="169" formatCode="0.00_);[Red]\(0.00\)"/>
    <numFmt numFmtId="170" formatCode="&quot;$&quot;#,##0"/>
  </numFmts>
  <fonts count="3" x14ac:knownFonts="1">
    <font>
      <sz val="11"/>
      <color theme="1"/>
      <name val="Aptos Narrow"/>
      <family val="2"/>
      <scheme val="minor"/>
    </font>
    <font>
      <b/>
      <sz val="11"/>
      <color rgb="FFFFFFFF"/>
      <name val="Aptos Narrow"/>
      <family val="2"/>
      <scheme val="minor"/>
    </font>
    <font>
      <b/>
      <sz val="11"/>
      <color rgb="FF00000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2" fillId="3" borderId="1" xfId="0" applyFont="1" applyFill="1" applyBorder="1"/>
    <xf numFmtId="0" fontId="2" fillId="3" borderId="0" xfId="0" applyFont="1" applyFill="1"/>
    <xf numFmtId="0" fontId="2" fillId="3" borderId="2" xfId="0" applyFont="1" applyFill="1" applyBorder="1"/>
    <xf numFmtId="6" fontId="1" fillId="2" borderId="0" xfId="0" applyNumberFormat="1" applyFont="1" applyFill="1" applyAlignment="1">
      <alignment horizontal="center"/>
    </xf>
    <xf numFmtId="6" fontId="0" fillId="0" borderId="0" xfId="0" applyNumberFormat="1"/>
    <xf numFmtId="6" fontId="2" fillId="3" borderId="1" xfId="0" applyNumberFormat="1" applyFont="1" applyFill="1" applyBorder="1"/>
    <xf numFmtId="6" fontId="2" fillId="3" borderId="0" xfId="0" applyNumberFormat="1" applyFont="1" applyFill="1"/>
    <xf numFmtId="6" fontId="2" fillId="3" borderId="2" xfId="0" applyNumberFormat="1" applyFont="1" applyFill="1" applyBorder="1"/>
    <xf numFmtId="164" fontId="1" fillId="2" borderId="0" xfId="0" applyNumberFormat="1" applyFont="1" applyFill="1" applyAlignment="1">
      <alignment horizontal="center"/>
    </xf>
    <xf numFmtId="164" fontId="0" fillId="0" borderId="0" xfId="0" applyNumberFormat="1"/>
    <xf numFmtId="164" fontId="2" fillId="3" borderId="1" xfId="0" applyNumberFormat="1" applyFont="1" applyFill="1" applyBorder="1"/>
    <xf numFmtId="164" fontId="2" fillId="3" borderId="0" xfId="0" applyNumberFormat="1" applyFont="1" applyFill="1"/>
    <xf numFmtId="164" fontId="2" fillId="3" borderId="2" xfId="0" applyNumberFormat="1" applyFont="1" applyFill="1" applyBorder="1"/>
    <xf numFmtId="165" fontId="1" fillId="2" borderId="0" xfId="0" applyNumberFormat="1" applyFont="1" applyFill="1" applyAlignment="1">
      <alignment horizontal="center"/>
    </xf>
    <xf numFmtId="165" fontId="0" fillId="0" borderId="0" xfId="0" applyNumberFormat="1"/>
    <xf numFmtId="165" fontId="2" fillId="3" borderId="1" xfId="0" applyNumberFormat="1" applyFont="1" applyFill="1" applyBorder="1"/>
    <xf numFmtId="165" fontId="2" fillId="3" borderId="0" xfId="0" applyNumberFormat="1" applyFont="1" applyFill="1"/>
    <xf numFmtId="165" fontId="2" fillId="3" borderId="2" xfId="0" applyNumberFormat="1" applyFont="1" applyFill="1" applyBorder="1"/>
    <xf numFmtId="166" fontId="1" fillId="2" borderId="0" xfId="0" applyNumberFormat="1" applyFont="1" applyFill="1" applyAlignment="1">
      <alignment horizontal="center"/>
    </xf>
    <xf numFmtId="166" fontId="0" fillId="0" borderId="0" xfId="0" applyNumberFormat="1"/>
    <xf numFmtId="166" fontId="2" fillId="3" borderId="1" xfId="0" applyNumberFormat="1" applyFont="1" applyFill="1" applyBorder="1"/>
    <xf numFmtId="166" fontId="2" fillId="3" borderId="0" xfId="0" applyNumberFormat="1" applyFont="1" applyFill="1"/>
    <xf numFmtId="167" fontId="1" fillId="2" borderId="0" xfId="0" applyNumberFormat="1" applyFont="1" applyFill="1" applyAlignment="1">
      <alignment horizontal="center"/>
    </xf>
    <xf numFmtId="167" fontId="0" fillId="0" borderId="0" xfId="0" applyNumberFormat="1"/>
    <xf numFmtId="167" fontId="2" fillId="3" borderId="1" xfId="0" applyNumberFormat="1" applyFont="1" applyFill="1" applyBorder="1"/>
    <xf numFmtId="167" fontId="2" fillId="3" borderId="0" xfId="0" applyNumberFormat="1" applyFont="1" applyFill="1"/>
    <xf numFmtId="167" fontId="2" fillId="3" borderId="2" xfId="0" applyNumberFormat="1" applyFont="1" applyFill="1" applyBorder="1"/>
    <xf numFmtId="40" fontId="1" fillId="2" borderId="0" xfId="0" applyNumberFormat="1" applyFont="1" applyFill="1" applyAlignment="1">
      <alignment horizontal="center"/>
    </xf>
    <xf numFmtId="40" fontId="0" fillId="0" borderId="0" xfId="0" applyNumberFormat="1"/>
    <xf numFmtId="40" fontId="2" fillId="3" borderId="1" xfId="0" applyNumberFormat="1" applyFont="1" applyFill="1" applyBorder="1"/>
    <xf numFmtId="40" fontId="2" fillId="3" borderId="0" xfId="0" applyNumberFormat="1" applyFont="1" applyFill="1"/>
    <xf numFmtId="40" fontId="2" fillId="3" borderId="2" xfId="0" applyNumberFormat="1" applyFont="1" applyFill="1" applyBorder="1"/>
    <xf numFmtId="8" fontId="1" fillId="2" borderId="0" xfId="0" applyNumberFormat="1" applyFont="1" applyFill="1" applyAlignment="1">
      <alignment horizontal="center"/>
    </xf>
    <xf numFmtId="8" fontId="0" fillId="0" borderId="0" xfId="0" applyNumberFormat="1"/>
    <xf numFmtId="8" fontId="2" fillId="3" borderId="1" xfId="0" applyNumberFormat="1" applyFont="1" applyFill="1" applyBorder="1"/>
    <xf numFmtId="8" fontId="2" fillId="3" borderId="0" xfId="0" applyNumberFormat="1" applyFont="1" applyFill="1"/>
    <xf numFmtId="8" fontId="2" fillId="3" borderId="2" xfId="0" applyNumberFormat="1" applyFont="1" applyFill="1" applyBorder="1"/>
    <xf numFmtId="168" fontId="2" fillId="3" borderId="2" xfId="0" applyNumberFormat="1" applyFont="1" applyFill="1" applyBorder="1"/>
    <xf numFmtId="169" fontId="0" fillId="0" borderId="0" xfId="0" applyNumberFormat="1"/>
    <xf numFmtId="170" fontId="0" fillId="0" borderId="0" xfId="0" applyNumberFormat="1"/>
    <xf numFmtId="42" fontId="0" fillId="0" borderId="0" xfId="0" applyNumberFormat="1"/>
    <xf numFmtId="40" fontId="2" fillId="4" borderId="2" xfId="0" applyNumberFormat="1" applyFont="1" applyFill="1" applyBorder="1"/>
  </cellXfs>
  <cellStyles count="1">
    <cellStyle name="Normal" xfId="0" builtinId="0"/>
  </cellStyles>
  <dxfs count="4">
    <dxf>
      <fill>
        <patternFill>
          <bgColor rgb="FFFFFFFF"/>
        </patternFill>
      </fill>
    </dxf>
    <dxf>
      <fill>
        <patternFill>
          <bgColor rgb="FFA7E4CD"/>
        </patternFill>
      </fill>
    </dxf>
    <dxf>
      <fill>
        <patternFill>
          <bgColor rgb="FFFFFFFF"/>
        </patternFill>
      </fill>
    </dxf>
    <dxf>
      <fill>
        <patternFill>
          <bgColor rgb="FFA7E4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D3C28C-6953-4825-9D8D-4CA9CDF9CEC1}">
  <dimension ref="A1:AR167"/>
  <sheetViews>
    <sheetView tabSelected="1" workbookViewId="0">
      <pane ySplit="1" topLeftCell="A73" activePane="bottomLeft" state="frozen"/>
      <selection pane="bottomLeft" activeCell="P103" sqref="P103"/>
    </sheetView>
  </sheetViews>
  <sheetFormatPr defaultRowHeight="15" x14ac:dyDescent="0.25"/>
  <cols>
    <col min="1" max="1" width="22.42578125" customWidth="1"/>
    <col min="2" max="2" width="29.140625" customWidth="1"/>
    <col min="3" max="3" width="12.140625" style="17" customWidth="1"/>
    <col min="4" max="4" width="14.85546875" style="7" customWidth="1"/>
    <col min="5" max="5" width="8.7109375" customWidth="1"/>
    <col min="6" max="6" width="24" customWidth="1"/>
    <col min="7" max="7" width="12.42578125" style="7" customWidth="1"/>
    <col min="8" max="8" width="12.85546875" style="7" customWidth="1"/>
    <col min="9" max="9" width="12.140625" style="12" customWidth="1"/>
    <col min="10" max="10" width="12.5703125" style="7" customWidth="1"/>
    <col min="11" max="11" width="14.7109375" style="7" customWidth="1"/>
    <col min="12" max="12" width="11.5703125" style="7" customWidth="1"/>
    <col min="13" max="13" width="10.85546875" style="22" customWidth="1"/>
    <col min="14" max="14" width="6.5703125" style="26" customWidth="1"/>
    <col min="15" max="15" width="9.42578125" style="31" customWidth="1"/>
    <col min="16" max="16" width="11.85546875" style="31" customWidth="1"/>
    <col min="17" max="17" width="13.28515625" style="7" customWidth="1"/>
    <col min="18" max="18" width="11.5703125" style="7" customWidth="1"/>
    <col min="19" max="19" width="10.28515625" style="36" customWidth="1"/>
    <col min="20" max="20" width="11.42578125" style="31" customWidth="1"/>
    <col min="21" max="21" width="20.7109375" customWidth="1"/>
    <col min="22" max="22" width="39.85546875" customWidth="1"/>
    <col min="23" max="23" width="22" customWidth="1"/>
    <col min="24" max="24" width="29.85546875" customWidth="1"/>
  </cols>
  <sheetData>
    <row r="1" spans="1:44" x14ac:dyDescent="0.25">
      <c r="A1" s="1" t="s">
        <v>0</v>
      </c>
      <c r="B1" s="1" t="s">
        <v>1</v>
      </c>
      <c r="C1" s="16" t="s">
        <v>2</v>
      </c>
      <c r="D1" s="6" t="s">
        <v>3</v>
      </c>
      <c r="E1" s="1" t="s">
        <v>4</v>
      </c>
      <c r="F1" s="1" t="s">
        <v>5</v>
      </c>
      <c r="G1" s="6" t="s">
        <v>6</v>
      </c>
      <c r="H1" s="6" t="s">
        <v>7</v>
      </c>
      <c r="I1" s="11" t="s">
        <v>8</v>
      </c>
      <c r="J1" s="6" t="s">
        <v>9</v>
      </c>
      <c r="K1" s="6" t="s">
        <v>10</v>
      </c>
      <c r="L1" s="6" t="s">
        <v>11</v>
      </c>
      <c r="M1" s="21" t="s">
        <v>12</v>
      </c>
      <c r="N1" s="25" t="s">
        <v>13</v>
      </c>
      <c r="O1" s="30" t="s">
        <v>14</v>
      </c>
      <c r="P1" s="30" t="s">
        <v>15</v>
      </c>
      <c r="Q1" s="6" t="s">
        <v>16</v>
      </c>
      <c r="R1" s="6" t="s">
        <v>17</v>
      </c>
      <c r="S1" s="35" t="s">
        <v>18</v>
      </c>
      <c r="T1" s="30" t="s">
        <v>19</v>
      </c>
      <c r="U1" s="1" t="s">
        <v>20</v>
      </c>
      <c r="V1" s="1" t="s">
        <v>21</v>
      </c>
      <c r="W1" s="1" t="s">
        <v>22</v>
      </c>
      <c r="X1" s="1" t="s">
        <v>320</v>
      </c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</row>
    <row r="2" spans="1:44" x14ac:dyDescent="0.25">
      <c r="AI2" s="2"/>
      <c r="AK2" s="2"/>
    </row>
    <row r="3" spans="1:44" x14ac:dyDescent="0.25">
      <c r="A3" t="s">
        <v>34</v>
      </c>
      <c r="B3" t="s">
        <v>35</v>
      </c>
      <c r="C3" s="17">
        <v>45481</v>
      </c>
      <c r="D3" s="7">
        <v>65000</v>
      </c>
      <c r="E3" t="s">
        <v>25</v>
      </c>
      <c r="F3" t="s">
        <v>26</v>
      </c>
      <c r="G3" s="7">
        <v>65000</v>
      </c>
      <c r="H3" s="7">
        <v>19900</v>
      </c>
      <c r="I3" s="12">
        <f t="shared" ref="I3:I18" si="0">H3/G3*100</f>
        <v>30.615384615384617</v>
      </c>
      <c r="J3" s="7">
        <v>35686</v>
      </c>
      <c r="K3" s="7">
        <f>G3-0</f>
        <v>65000</v>
      </c>
      <c r="L3" s="7">
        <v>35686</v>
      </c>
      <c r="M3" s="22">
        <v>0</v>
      </c>
      <c r="N3" s="26">
        <v>0</v>
      </c>
      <c r="O3" s="31">
        <v>3.5</v>
      </c>
      <c r="P3" s="31">
        <v>3.5</v>
      </c>
      <c r="Q3" s="7" t="e">
        <f t="shared" ref="Q3:Q18" si="1">K3/M3</f>
        <v>#DIV/0!</v>
      </c>
      <c r="R3" s="7">
        <f t="shared" ref="R3:R18" si="2">K3/O3</f>
        <v>18571.428571428572</v>
      </c>
      <c r="S3" s="36">
        <f t="shared" ref="S3:S18" si="3">K3/O3/43560</f>
        <v>0.42634133543224456</v>
      </c>
      <c r="T3" s="31">
        <v>0</v>
      </c>
      <c r="U3" t="s">
        <v>36</v>
      </c>
      <c r="W3" t="s">
        <v>28</v>
      </c>
    </row>
    <row r="4" spans="1:44" x14ac:dyDescent="0.25">
      <c r="A4" t="s">
        <v>37</v>
      </c>
      <c r="B4" t="s">
        <v>38</v>
      </c>
      <c r="C4" s="17">
        <v>45449</v>
      </c>
      <c r="D4" s="7">
        <v>189900</v>
      </c>
      <c r="E4" t="s">
        <v>25</v>
      </c>
      <c r="F4" t="s">
        <v>26</v>
      </c>
      <c r="G4" s="7">
        <v>189900</v>
      </c>
      <c r="H4" s="7">
        <v>95300</v>
      </c>
      <c r="I4" s="12">
        <f t="shared" si="0"/>
        <v>50.184307530279092</v>
      </c>
      <c r="J4" s="7">
        <v>192600</v>
      </c>
      <c r="K4" s="7">
        <f>G4-172132</f>
        <v>17768</v>
      </c>
      <c r="L4" s="7">
        <v>20468</v>
      </c>
      <c r="M4" s="22">
        <v>0</v>
      </c>
      <c r="N4" s="26">
        <v>0</v>
      </c>
      <c r="O4" s="31">
        <v>2.15</v>
      </c>
      <c r="P4" s="31">
        <v>2.15</v>
      </c>
      <c r="Q4" s="7" t="e">
        <f t="shared" si="1"/>
        <v>#DIV/0!</v>
      </c>
      <c r="R4" s="7">
        <f t="shared" si="2"/>
        <v>8264.1860465116279</v>
      </c>
      <c r="S4" s="36">
        <f t="shared" si="3"/>
        <v>0.18971960621009246</v>
      </c>
      <c r="T4" s="31">
        <v>0</v>
      </c>
      <c r="U4" t="s">
        <v>39</v>
      </c>
      <c r="W4" t="s">
        <v>28</v>
      </c>
    </row>
    <row r="5" spans="1:44" x14ac:dyDescent="0.25">
      <c r="A5" t="s">
        <v>40</v>
      </c>
      <c r="B5" t="s">
        <v>41</v>
      </c>
      <c r="C5" s="17">
        <v>45191</v>
      </c>
      <c r="D5" s="7">
        <v>93000</v>
      </c>
      <c r="E5" t="s">
        <v>25</v>
      </c>
      <c r="F5" t="s">
        <v>26</v>
      </c>
      <c r="G5" s="7">
        <v>93000</v>
      </c>
      <c r="H5" s="7">
        <v>35200</v>
      </c>
      <c r="I5" s="12">
        <f t="shared" si="0"/>
        <v>37.8494623655914</v>
      </c>
      <c r="J5" s="7">
        <v>88604</v>
      </c>
      <c r="K5" s="7">
        <f>G5-68210</f>
        <v>24790</v>
      </c>
      <c r="L5" s="7">
        <v>20394</v>
      </c>
      <c r="M5" s="22">
        <v>0</v>
      </c>
      <c r="N5" s="26">
        <v>0</v>
      </c>
      <c r="O5" s="31">
        <v>0.93200000000000005</v>
      </c>
      <c r="P5" s="31">
        <v>0.93200000000000005</v>
      </c>
      <c r="Q5" s="7" t="e">
        <f t="shared" si="1"/>
        <v>#DIV/0!</v>
      </c>
      <c r="R5" s="7">
        <f t="shared" si="2"/>
        <v>26598.712446351929</v>
      </c>
      <c r="S5" s="36">
        <f t="shared" si="3"/>
        <v>0.61062241612378165</v>
      </c>
      <c r="T5" s="31">
        <v>0</v>
      </c>
      <c r="U5" t="s">
        <v>42</v>
      </c>
      <c r="W5" t="s">
        <v>28</v>
      </c>
    </row>
    <row r="6" spans="1:44" x14ac:dyDescent="0.25">
      <c r="A6" t="s">
        <v>47</v>
      </c>
      <c r="B6" t="s">
        <v>48</v>
      </c>
      <c r="C6" s="17">
        <v>45387</v>
      </c>
      <c r="D6" s="7">
        <v>155000</v>
      </c>
      <c r="E6" t="s">
        <v>25</v>
      </c>
      <c r="F6" t="s">
        <v>26</v>
      </c>
      <c r="G6" s="7">
        <v>155000</v>
      </c>
      <c r="H6" s="7">
        <v>76000</v>
      </c>
      <c r="I6" s="12">
        <f t="shared" si="0"/>
        <v>49.032258064516128</v>
      </c>
      <c r="J6" s="7">
        <v>161559</v>
      </c>
      <c r="K6" s="7">
        <f>G6-141165</f>
        <v>13835</v>
      </c>
      <c r="L6" s="7">
        <v>20394</v>
      </c>
      <c r="M6" s="22">
        <v>0</v>
      </c>
      <c r="N6" s="26">
        <v>0</v>
      </c>
      <c r="O6" s="31">
        <v>0.93200000000000005</v>
      </c>
      <c r="P6" s="31">
        <v>0.93200000000000005</v>
      </c>
      <c r="Q6" s="7" t="e">
        <f t="shared" si="1"/>
        <v>#DIV/0!</v>
      </c>
      <c r="R6" s="7">
        <f t="shared" si="2"/>
        <v>14844.420600858368</v>
      </c>
      <c r="S6" s="36">
        <f t="shared" si="3"/>
        <v>0.34078100552934731</v>
      </c>
      <c r="T6" s="31">
        <v>0</v>
      </c>
      <c r="U6" t="s">
        <v>49</v>
      </c>
      <c r="W6" t="s">
        <v>28</v>
      </c>
    </row>
    <row r="7" spans="1:44" x14ac:dyDescent="0.25">
      <c r="A7" t="s">
        <v>50</v>
      </c>
      <c r="B7" t="s">
        <v>51</v>
      </c>
      <c r="C7" s="17">
        <v>45027</v>
      </c>
      <c r="D7" s="7">
        <v>22000</v>
      </c>
      <c r="E7" t="s">
        <v>25</v>
      </c>
      <c r="F7" t="s">
        <v>26</v>
      </c>
      <c r="G7" s="7">
        <v>22000</v>
      </c>
      <c r="H7" s="7">
        <v>10900</v>
      </c>
      <c r="I7" s="12">
        <f t="shared" si="0"/>
        <v>49.545454545454547</v>
      </c>
      <c r="J7" s="7">
        <v>22444</v>
      </c>
      <c r="K7" s="7">
        <f>G7-0</f>
        <v>22000</v>
      </c>
      <c r="L7" s="7">
        <v>22444</v>
      </c>
      <c r="M7" s="22">
        <v>0</v>
      </c>
      <c r="N7" s="26">
        <v>0</v>
      </c>
      <c r="O7" s="31">
        <v>1.25</v>
      </c>
      <c r="P7" s="31">
        <v>1.25</v>
      </c>
      <c r="Q7" s="7" t="e">
        <f t="shared" si="1"/>
        <v>#DIV/0!</v>
      </c>
      <c r="R7" s="7">
        <f t="shared" si="2"/>
        <v>17600</v>
      </c>
      <c r="S7" s="36">
        <f t="shared" si="3"/>
        <v>0.40404040404040403</v>
      </c>
      <c r="T7" s="31">
        <v>0</v>
      </c>
      <c r="U7" t="s">
        <v>52</v>
      </c>
      <c r="W7" t="s">
        <v>28</v>
      </c>
    </row>
    <row r="8" spans="1:44" x14ac:dyDescent="0.25">
      <c r="A8" t="s">
        <v>53</v>
      </c>
      <c r="B8" t="s">
        <v>54</v>
      </c>
      <c r="C8" s="17">
        <v>45229</v>
      </c>
      <c r="D8" s="7">
        <v>98500</v>
      </c>
      <c r="E8" t="s">
        <v>25</v>
      </c>
      <c r="F8" t="s">
        <v>26</v>
      </c>
      <c r="G8" s="7">
        <v>98500</v>
      </c>
      <c r="H8" s="7">
        <v>33000</v>
      </c>
      <c r="I8" s="12">
        <f t="shared" si="0"/>
        <v>33.502538071065992</v>
      </c>
      <c r="J8" s="7">
        <v>63358</v>
      </c>
      <c r="K8" s="7">
        <f>G8-0</f>
        <v>98500</v>
      </c>
      <c r="L8" s="7">
        <v>53843</v>
      </c>
      <c r="M8" s="22">
        <v>0</v>
      </c>
      <c r="N8" s="26">
        <v>0</v>
      </c>
      <c r="O8" s="31">
        <v>15.34</v>
      </c>
      <c r="P8" s="31">
        <v>15.34</v>
      </c>
      <c r="Q8" s="7" t="e">
        <f t="shared" si="1"/>
        <v>#DIV/0!</v>
      </c>
      <c r="R8" s="7">
        <f t="shared" si="2"/>
        <v>6421.1212516297264</v>
      </c>
      <c r="S8" s="36">
        <f t="shared" si="3"/>
        <v>0.14740866050573292</v>
      </c>
      <c r="T8" s="31">
        <v>0</v>
      </c>
      <c r="U8" t="s">
        <v>55</v>
      </c>
      <c r="W8" t="s">
        <v>28</v>
      </c>
    </row>
    <row r="9" spans="1:44" x14ac:dyDescent="0.25">
      <c r="A9" t="s">
        <v>61</v>
      </c>
      <c r="B9" t="s">
        <v>62</v>
      </c>
      <c r="C9" s="17">
        <v>45552</v>
      </c>
      <c r="D9" s="7">
        <v>280000</v>
      </c>
      <c r="E9" t="s">
        <v>25</v>
      </c>
      <c r="F9" t="s">
        <v>26</v>
      </c>
      <c r="G9" s="7">
        <v>280000</v>
      </c>
      <c r="H9" s="7">
        <v>116900</v>
      </c>
      <c r="I9" s="12">
        <f t="shared" si="0"/>
        <v>41.75</v>
      </c>
      <c r="J9" s="7">
        <v>232625</v>
      </c>
      <c r="K9" s="7">
        <f>G9-180073</f>
        <v>99927</v>
      </c>
      <c r="L9" s="7">
        <v>52552</v>
      </c>
      <c r="M9" s="22">
        <v>0</v>
      </c>
      <c r="N9" s="26">
        <v>0</v>
      </c>
      <c r="O9" s="31">
        <v>14.63</v>
      </c>
      <c r="P9" s="31">
        <v>14.63</v>
      </c>
      <c r="Q9" s="7" t="e">
        <f t="shared" si="1"/>
        <v>#DIV/0!</v>
      </c>
      <c r="R9" s="7">
        <f t="shared" si="2"/>
        <v>6830.2802460697194</v>
      </c>
      <c r="S9" s="36">
        <f t="shared" si="3"/>
        <v>0.15680165854154543</v>
      </c>
      <c r="T9" s="31">
        <v>0</v>
      </c>
      <c r="U9" t="s">
        <v>63</v>
      </c>
      <c r="W9" t="s">
        <v>28</v>
      </c>
    </row>
    <row r="10" spans="1:44" x14ac:dyDescent="0.25">
      <c r="A10" t="s">
        <v>64</v>
      </c>
      <c r="B10" t="s">
        <v>65</v>
      </c>
      <c r="C10" s="17">
        <v>45229</v>
      </c>
      <c r="D10" s="7">
        <v>220000</v>
      </c>
      <c r="E10" t="s">
        <v>25</v>
      </c>
      <c r="F10" t="s">
        <v>26</v>
      </c>
      <c r="G10" s="7">
        <v>220000</v>
      </c>
      <c r="H10" s="7">
        <v>98400</v>
      </c>
      <c r="I10" s="12">
        <f t="shared" si="0"/>
        <v>44.727272727272727</v>
      </c>
      <c r="J10" s="7">
        <v>218552</v>
      </c>
      <c r="K10" s="7">
        <f>G10-194761</f>
        <v>25239</v>
      </c>
      <c r="L10" s="7">
        <v>23791</v>
      </c>
      <c r="M10" s="22">
        <v>0</v>
      </c>
      <c r="N10" s="26">
        <v>0</v>
      </c>
      <c r="O10" s="31">
        <v>3.5</v>
      </c>
      <c r="P10" s="31">
        <v>3.5</v>
      </c>
      <c r="Q10" s="7" t="e">
        <f t="shared" si="1"/>
        <v>#DIV/0!</v>
      </c>
      <c r="R10" s="7">
        <f t="shared" si="2"/>
        <v>7211.1428571428569</v>
      </c>
      <c r="S10" s="36">
        <f t="shared" si="3"/>
        <v>0.16554506099960645</v>
      </c>
      <c r="T10" s="31">
        <v>0</v>
      </c>
      <c r="U10" t="s">
        <v>66</v>
      </c>
      <c r="W10" t="s">
        <v>28</v>
      </c>
    </row>
    <row r="11" spans="1:44" x14ac:dyDescent="0.25">
      <c r="A11" t="s">
        <v>70</v>
      </c>
      <c r="B11" t="s">
        <v>71</v>
      </c>
      <c r="C11" s="17">
        <v>45649</v>
      </c>
      <c r="D11" s="7">
        <v>54900</v>
      </c>
      <c r="E11" t="s">
        <v>46</v>
      </c>
      <c r="F11" t="s">
        <v>26</v>
      </c>
      <c r="G11" s="7">
        <v>54900</v>
      </c>
      <c r="H11" s="7">
        <v>17400</v>
      </c>
      <c r="I11" s="12">
        <f t="shared" si="0"/>
        <v>31.693989071038253</v>
      </c>
      <c r="J11" s="7">
        <v>31309</v>
      </c>
      <c r="K11" s="7">
        <f>G11-0</f>
        <v>54900</v>
      </c>
      <c r="L11" s="7">
        <v>31309</v>
      </c>
      <c r="M11" s="22">
        <v>0</v>
      </c>
      <c r="N11" s="26">
        <v>0</v>
      </c>
      <c r="O11" s="31">
        <v>10</v>
      </c>
      <c r="P11" s="31">
        <v>10</v>
      </c>
      <c r="Q11" s="7" t="e">
        <f t="shared" si="1"/>
        <v>#DIV/0!</v>
      </c>
      <c r="R11" s="7">
        <f t="shared" si="2"/>
        <v>5490</v>
      </c>
      <c r="S11" s="36">
        <f t="shared" si="3"/>
        <v>0.12603305785123967</v>
      </c>
      <c r="T11" s="31">
        <v>0</v>
      </c>
      <c r="U11" t="s">
        <v>72</v>
      </c>
      <c r="W11" t="s">
        <v>28</v>
      </c>
    </row>
    <row r="12" spans="1:44" x14ac:dyDescent="0.25">
      <c r="A12" t="s">
        <v>73</v>
      </c>
      <c r="B12" t="s">
        <v>74</v>
      </c>
      <c r="C12" s="17">
        <v>45362</v>
      </c>
      <c r="D12" s="7">
        <v>170000</v>
      </c>
      <c r="E12" t="s">
        <v>25</v>
      </c>
      <c r="F12" t="s">
        <v>26</v>
      </c>
      <c r="G12" s="7">
        <v>170000</v>
      </c>
      <c r="H12" s="7">
        <v>74400</v>
      </c>
      <c r="I12" s="12">
        <f t="shared" si="0"/>
        <v>43.764705882352942</v>
      </c>
      <c r="J12" s="7">
        <v>166696</v>
      </c>
      <c r="K12" s="7">
        <f>G12-149190</f>
        <v>20810</v>
      </c>
      <c r="L12" s="7">
        <v>17506</v>
      </c>
      <c r="M12" s="22">
        <v>0</v>
      </c>
      <c r="N12" s="26">
        <v>0</v>
      </c>
      <c r="O12" s="31">
        <v>1</v>
      </c>
      <c r="P12" s="31">
        <v>1</v>
      </c>
      <c r="Q12" s="7" t="e">
        <f t="shared" si="1"/>
        <v>#DIV/0!</v>
      </c>
      <c r="R12" s="7">
        <f t="shared" si="2"/>
        <v>20810</v>
      </c>
      <c r="S12" s="36">
        <f t="shared" si="3"/>
        <v>0.47773186409550045</v>
      </c>
      <c r="T12" s="31">
        <v>0</v>
      </c>
      <c r="U12" t="s">
        <v>75</v>
      </c>
      <c r="W12" t="s">
        <v>28</v>
      </c>
    </row>
    <row r="13" spans="1:44" x14ac:dyDescent="0.25">
      <c r="A13" t="s">
        <v>76</v>
      </c>
      <c r="B13" t="s">
        <v>77</v>
      </c>
      <c r="C13" s="17">
        <v>45076</v>
      </c>
      <c r="D13" s="7">
        <v>220000</v>
      </c>
      <c r="E13" t="s">
        <v>25</v>
      </c>
      <c r="F13" t="s">
        <v>26</v>
      </c>
      <c r="G13" s="7">
        <v>220000</v>
      </c>
      <c r="H13" s="7">
        <v>79500</v>
      </c>
      <c r="I13" s="12">
        <f t="shared" si="0"/>
        <v>36.13636363636364</v>
      </c>
      <c r="J13" s="7">
        <v>219934</v>
      </c>
      <c r="K13" s="7">
        <f>G13-189186</f>
        <v>30814</v>
      </c>
      <c r="L13" s="7">
        <v>30748</v>
      </c>
      <c r="M13" s="22">
        <v>0</v>
      </c>
      <c r="N13" s="26">
        <v>0</v>
      </c>
      <c r="O13" s="31">
        <v>6</v>
      </c>
      <c r="P13" s="31">
        <v>6</v>
      </c>
      <c r="Q13" s="7" t="e">
        <f t="shared" si="1"/>
        <v>#DIV/0!</v>
      </c>
      <c r="R13" s="7">
        <f t="shared" si="2"/>
        <v>5135.666666666667</v>
      </c>
      <c r="S13" s="36">
        <f t="shared" si="3"/>
        <v>0.11789868380777473</v>
      </c>
      <c r="T13" s="31">
        <v>0</v>
      </c>
      <c r="U13" t="s">
        <v>78</v>
      </c>
      <c r="W13" t="s">
        <v>28</v>
      </c>
    </row>
    <row r="14" spans="1:44" x14ac:dyDescent="0.25">
      <c r="A14" t="s">
        <v>79</v>
      </c>
      <c r="B14" t="s">
        <v>71</v>
      </c>
      <c r="C14" s="17">
        <v>45072</v>
      </c>
      <c r="D14" s="7">
        <v>75500</v>
      </c>
      <c r="E14" t="s">
        <v>25</v>
      </c>
      <c r="F14" t="s">
        <v>26</v>
      </c>
      <c r="G14" s="7">
        <v>75500</v>
      </c>
      <c r="H14" s="7">
        <v>28900</v>
      </c>
      <c r="I14" s="12">
        <f t="shared" si="0"/>
        <v>38.278145695364238</v>
      </c>
      <c r="J14" s="7">
        <v>54673</v>
      </c>
      <c r="K14" s="7">
        <f>G14-0</f>
        <v>75500</v>
      </c>
      <c r="L14" s="7">
        <v>54673</v>
      </c>
      <c r="M14" s="22">
        <v>0</v>
      </c>
      <c r="N14" s="26">
        <v>0</v>
      </c>
      <c r="O14" s="31">
        <v>16</v>
      </c>
      <c r="P14" s="31">
        <v>16</v>
      </c>
      <c r="Q14" s="7" t="e">
        <f t="shared" si="1"/>
        <v>#DIV/0!</v>
      </c>
      <c r="R14" s="7">
        <f t="shared" si="2"/>
        <v>4718.75</v>
      </c>
      <c r="S14" s="36">
        <f t="shared" si="3"/>
        <v>0.10832759412304867</v>
      </c>
      <c r="T14" s="31">
        <v>0</v>
      </c>
      <c r="U14" t="s">
        <v>80</v>
      </c>
      <c r="W14" t="s">
        <v>28</v>
      </c>
    </row>
    <row r="15" spans="1:44" x14ac:dyDescent="0.25">
      <c r="A15" t="s">
        <v>81</v>
      </c>
      <c r="B15" t="s">
        <v>82</v>
      </c>
      <c r="C15" s="17">
        <v>45194</v>
      </c>
      <c r="D15" s="7">
        <v>274000</v>
      </c>
      <c r="E15" t="s">
        <v>25</v>
      </c>
      <c r="F15" t="s">
        <v>26</v>
      </c>
      <c r="G15" s="7">
        <v>274000</v>
      </c>
      <c r="H15" s="7">
        <v>116800</v>
      </c>
      <c r="I15" s="12">
        <f t="shared" si="0"/>
        <v>42.627737226277375</v>
      </c>
      <c r="J15" s="7">
        <v>257670</v>
      </c>
      <c r="K15" s="7">
        <f>G15-214338</f>
        <v>59662</v>
      </c>
      <c r="L15" s="7">
        <v>43332</v>
      </c>
      <c r="M15" s="22">
        <v>0</v>
      </c>
      <c r="N15" s="26">
        <v>0</v>
      </c>
      <c r="O15" s="31">
        <v>10.68</v>
      </c>
      <c r="P15" s="31">
        <v>10.68</v>
      </c>
      <c r="Q15" s="7" t="e">
        <f t="shared" si="1"/>
        <v>#DIV/0!</v>
      </c>
      <c r="R15" s="7">
        <f t="shared" si="2"/>
        <v>5586.3295880149817</v>
      </c>
      <c r="S15" s="36">
        <f t="shared" si="3"/>
        <v>0.12824448090025212</v>
      </c>
      <c r="T15" s="31">
        <v>0</v>
      </c>
      <c r="U15" t="s">
        <v>83</v>
      </c>
      <c r="W15" t="s">
        <v>28</v>
      </c>
    </row>
    <row r="16" spans="1:44" x14ac:dyDescent="0.25">
      <c r="A16" t="s">
        <v>96</v>
      </c>
      <c r="B16" t="s">
        <v>97</v>
      </c>
      <c r="C16" s="17">
        <v>45415</v>
      </c>
      <c r="D16" s="7">
        <v>246000</v>
      </c>
      <c r="E16" t="s">
        <v>25</v>
      </c>
      <c r="F16" t="s">
        <v>26</v>
      </c>
      <c r="G16" s="7">
        <v>246000</v>
      </c>
      <c r="H16" s="7">
        <v>56000</v>
      </c>
      <c r="I16" s="12">
        <f t="shared" si="0"/>
        <v>22.76422764227642</v>
      </c>
      <c r="J16" s="7">
        <v>111456</v>
      </c>
      <c r="K16" s="7">
        <f>G16-85870</f>
        <v>160130</v>
      </c>
      <c r="L16" s="7">
        <v>25586</v>
      </c>
      <c r="M16" s="22">
        <v>0</v>
      </c>
      <c r="N16" s="26">
        <v>0</v>
      </c>
      <c r="O16" s="31">
        <v>4</v>
      </c>
      <c r="P16" s="31">
        <v>4</v>
      </c>
      <c r="Q16" s="7" t="e">
        <f t="shared" si="1"/>
        <v>#DIV/0!</v>
      </c>
      <c r="R16" s="7">
        <f t="shared" si="2"/>
        <v>40032.5</v>
      </c>
      <c r="S16" s="36">
        <f t="shared" si="3"/>
        <v>0.91901974288337929</v>
      </c>
      <c r="T16" s="31">
        <v>0</v>
      </c>
      <c r="U16" t="s">
        <v>98</v>
      </c>
      <c r="W16" t="s">
        <v>28</v>
      </c>
    </row>
    <row r="17" spans="1:23" x14ac:dyDescent="0.25">
      <c r="A17" t="s">
        <v>99</v>
      </c>
      <c r="B17" t="s">
        <v>100</v>
      </c>
      <c r="C17" s="17">
        <v>45188</v>
      </c>
      <c r="D17" s="7">
        <v>167000</v>
      </c>
      <c r="E17" t="s">
        <v>25</v>
      </c>
      <c r="F17" t="s">
        <v>26</v>
      </c>
      <c r="G17" s="7">
        <v>167000</v>
      </c>
      <c r="H17" s="7">
        <v>65800</v>
      </c>
      <c r="I17" s="12">
        <f t="shared" si="0"/>
        <v>39.401197604790418</v>
      </c>
      <c r="J17" s="7">
        <v>145857</v>
      </c>
      <c r="K17" s="7">
        <f>G17-124940</f>
        <v>42060</v>
      </c>
      <c r="L17" s="7">
        <v>20917</v>
      </c>
      <c r="M17" s="22">
        <v>0</v>
      </c>
      <c r="N17" s="26">
        <v>0</v>
      </c>
      <c r="O17" s="31">
        <v>2.4</v>
      </c>
      <c r="P17" s="31">
        <v>2.4</v>
      </c>
      <c r="Q17" s="7" t="e">
        <f t="shared" si="1"/>
        <v>#DIV/0!</v>
      </c>
      <c r="R17" s="7">
        <f t="shared" si="2"/>
        <v>17525</v>
      </c>
      <c r="S17" s="36">
        <f t="shared" si="3"/>
        <v>0.40231864095500458</v>
      </c>
      <c r="T17" s="31">
        <v>0</v>
      </c>
      <c r="U17" t="s">
        <v>101</v>
      </c>
      <c r="W17" t="s">
        <v>28</v>
      </c>
    </row>
    <row r="18" spans="1:23" x14ac:dyDescent="0.25">
      <c r="A18" t="s">
        <v>102</v>
      </c>
      <c r="B18" t="s">
        <v>103</v>
      </c>
      <c r="C18" s="17">
        <v>45551</v>
      </c>
      <c r="D18" s="7">
        <v>154900</v>
      </c>
      <c r="E18" t="s">
        <v>25</v>
      </c>
      <c r="F18" t="s">
        <v>26</v>
      </c>
      <c r="G18" s="7">
        <v>154900</v>
      </c>
      <c r="H18" s="7">
        <v>68000</v>
      </c>
      <c r="I18" s="12">
        <f t="shared" si="0"/>
        <v>43.899289864428667</v>
      </c>
      <c r="J18" s="7">
        <v>137958</v>
      </c>
      <c r="K18" s="7">
        <f>G18-126579</f>
        <v>28321</v>
      </c>
      <c r="L18" s="7">
        <v>11379</v>
      </c>
      <c r="M18" s="22">
        <v>0</v>
      </c>
      <c r="N18" s="26">
        <v>0</v>
      </c>
      <c r="O18" s="31">
        <v>0.52</v>
      </c>
      <c r="P18" s="31">
        <v>0.52</v>
      </c>
      <c r="Q18" s="7" t="e">
        <f t="shared" si="1"/>
        <v>#DIV/0!</v>
      </c>
      <c r="R18" s="7">
        <f t="shared" si="2"/>
        <v>54463.461538461539</v>
      </c>
      <c r="S18" s="36">
        <f t="shared" si="3"/>
        <v>1.2503090343999435</v>
      </c>
      <c r="T18" s="31">
        <v>0</v>
      </c>
      <c r="U18" t="s">
        <v>104</v>
      </c>
      <c r="W18" t="s">
        <v>28</v>
      </c>
    </row>
    <row r="19" spans="1:23" x14ac:dyDescent="0.25">
      <c r="A19" t="s">
        <v>108</v>
      </c>
      <c r="B19" t="s">
        <v>109</v>
      </c>
      <c r="C19" s="17">
        <v>45275</v>
      </c>
      <c r="D19" s="7">
        <v>16000</v>
      </c>
      <c r="E19" t="s">
        <v>25</v>
      </c>
      <c r="F19" t="s">
        <v>26</v>
      </c>
      <c r="G19" s="7">
        <v>16000</v>
      </c>
      <c r="H19" s="7">
        <v>11800</v>
      </c>
      <c r="I19" s="12">
        <f t="shared" ref="I19:I28" si="4">H19/G19*100</f>
        <v>73.75</v>
      </c>
      <c r="J19" s="7">
        <v>22498</v>
      </c>
      <c r="K19" s="7">
        <f>G19-0</f>
        <v>16000</v>
      </c>
      <c r="L19" s="7">
        <v>22498</v>
      </c>
      <c r="M19" s="22">
        <v>0</v>
      </c>
      <c r="N19" s="26">
        <v>0</v>
      </c>
      <c r="O19" s="31">
        <v>3.14</v>
      </c>
      <c r="P19" s="31">
        <v>3.14</v>
      </c>
      <c r="Q19" s="7" t="e">
        <f t="shared" ref="Q19:Q28" si="5">K19/M19</f>
        <v>#DIV/0!</v>
      </c>
      <c r="R19" s="7">
        <f t="shared" ref="R19:R28" si="6">K19/O19</f>
        <v>5095.5414012738847</v>
      </c>
      <c r="S19" s="36">
        <f t="shared" ref="S19:S28" si="7">K19/O19/43560</f>
        <v>0.11697753446450608</v>
      </c>
      <c r="T19" s="31">
        <v>0</v>
      </c>
      <c r="U19" t="s">
        <v>112</v>
      </c>
      <c r="W19" t="s">
        <v>28</v>
      </c>
    </row>
    <row r="20" spans="1:23" x14ac:dyDescent="0.25">
      <c r="A20" t="s">
        <v>113</v>
      </c>
      <c r="B20" t="s">
        <v>114</v>
      </c>
      <c r="C20" s="17">
        <v>45239</v>
      </c>
      <c r="D20" s="7">
        <v>159900</v>
      </c>
      <c r="E20" t="s">
        <v>25</v>
      </c>
      <c r="F20" t="s">
        <v>26</v>
      </c>
      <c r="G20" s="7">
        <v>159900</v>
      </c>
      <c r="H20" s="7">
        <v>62800</v>
      </c>
      <c r="I20" s="12">
        <f t="shared" si="4"/>
        <v>39.27454659161976</v>
      </c>
      <c r="J20" s="7">
        <v>139712</v>
      </c>
      <c r="K20" s="7">
        <f>G20-117493</f>
        <v>42407</v>
      </c>
      <c r="L20" s="7">
        <v>22219</v>
      </c>
      <c r="M20" s="22">
        <v>0</v>
      </c>
      <c r="N20" s="26">
        <v>0</v>
      </c>
      <c r="O20" s="31">
        <v>2</v>
      </c>
      <c r="P20" s="31">
        <v>2</v>
      </c>
      <c r="Q20" s="7" t="e">
        <f t="shared" si="5"/>
        <v>#DIV/0!</v>
      </c>
      <c r="R20" s="7">
        <f t="shared" si="6"/>
        <v>21203.5</v>
      </c>
      <c r="S20" s="36">
        <f t="shared" si="7"/>
        <v>0.48676538108356288</v>
      </c>
      <c r="T20" s="31">
        <v>0</v>
      </c>
      <c r="U20" t="s">
        <v>115</v>
      </c>
      <c r="W20" t="s">
        <v>28</v>
      </c>
    </row>
    <row r="21" spans="1:23" x14ac:dyDescent="0.25">
      <c r="A21" t="s">
        <v>122</v>
      </c>
      <c r="B21" t="s">
        <v>123</v>
      </c>
      <c r="C21" s="17">
        <v>45694</v>
      </c>
      <c r="D21" s="7">
        <v>255000</v>
      </c>
      <c r="E21" t="s">
        <v>25</v>
      </c>
      <c r="F21" t="s">
        <v>26</v>
      </c>
      <c r="G21" s="7">
        <v>255000</v>
      </c>
      <c r="H21" s="7">
        <v>103000</v>
      </c>
      <c r="I21" s="12">
        <f t="shared" si="4"/>
        <v>40.392156862745097</v>
      </c>
      <c r="J21" s="7">
        <v>226154</v>
      </c>
      <c r="K21" s="7">
        <f>G21-163940</f>
        <v>91060</v>
      </c>
      <c r="L21" s="7">
        <v>62214</v>
      </c>
      <c r="M21" s="22">
        <v>0</v>
      </c>
      <c r="N21" s="26">
        <v>0</v>
      </c>
      <c r="O21" s="31">
        <v>22</v>
      </c>
      <c r="P21" s="31">
        <v>22</v>
      </c>
      <c r="Q21" s="7" t="e">
        <f t="shared" si="5"/>
        <v>#DIV/0!</v>
      </c>
      <c r="R21" s="7">
        <f t="shared" si="6"/>
        <v>4139.090909090909</v>
      </c>
      <c r="S21" s="36">
        <f t="shared" si="7"/>
        <v>9.502045245846899E-2</v>
      </c>
      <c r="T21" s="31">
        <v>0</v>
      </c>
      <c r="U21" t="s">
        <v>124</v>
      </c>
      <c r="W21" t="s">
        <v>28</v>
      </c>
    </row>
    <row r="22" spans="1:23" x14ac:dyDescent="0.25">
      <c r="A22" t="s">
        <v>125</v>
      </c>
      <c r="B22" t="s">
        <v>126</v>
      </c>
      <c r="C22" s="17">
        <v>45183</v>
      </c>
      <c r="D22" s="7">
        <v>184000</v>
      </c>
      <c r="E22" t="s">
        <v>25</v>
      </c>
      <c r="F22" t="s">
        <v>26</v>
      </c>
      <c r="G22" s="7">
        <v>184000</v>
      </c>
      <c r="H22" s="7">
        <v>54300</v>
      </c>
      <c r="I22" s="12">
        <f t="shared" si="4"/>
        <v>29.510869565217391</v>
      </c>
      <c r="J22" s="7">
        <v>148891</v>
      </c>
      <c r="K22" s="7">
        <f>G22-127058</f>
        <v>56942</v>
      </c>
      <c r="L22" s="7">
        <v>21833</v>
      </c>
      <c r="M22" s="22">
        <v>0</v>
      </c>
      <c r="N22" s="26">
        <v>0</v>
      </c>
      <c r="O22" s="31">
        <v>2.91</v>
      </c>
      <c r="P22" s="31">
        <v>2.91</v>
      </c>
      <c r="Q22" s="7" t="e">
        <f t="shared" si="5"/>
        <v>#DIV/0!</v>
      </c>
      <c r="R22" s="7">
        <f t="shared" si="6"/>
        <v>19567.697594501718</v>
      </c>
      <c r="S22" s="36">
        <f t="shared" si="7"/>
        <v>0.44921252512630205</v>
      </c>
      <c r="T22" s="31">
        <v>0</v>
      </c>
      <c r="U22" t="s">
        <v>127</v>
      </c>
      <c r="W22" t="s">
        <v>28</v>
      </c>
    </row>
    <row r="23" spans="1:23" x14ac:dyDescent="0.25">
      <c r="A23" t="s">
        <v>128</v>
      </c>
      <c r="B23" t="s">
        <v>129</v>
      </c>
      <c r="C23" s="17">
        <v>45281</v>
      </c>
      <c r="D23" s="7">
        <v>400000</v>
      </c>
      <c r="E23" t="s">
        <v>25</v>
      </c>
      <c r="F23" t="s">
        <v>26</v>
      </c>
      <c r="G23" s="7">
        <v>400000</v>
      </c>
      <c r="H23" s="7">
        <v>127500</v>
      </c>
      <c r="I23" s="12">
        <f t="shared" si="4"/>
        <v>31.874999999999996</v>
      </c>
      <c r="J23" s="7">
        <v>276289</v>
      </c>
      <c r="K23" s="7">
        <f>G23-189778</f>
        <v>210222</v>
      </c>
      <c r="L23" s="7">
        <v>86511</v>
      </c>
      <c r="M23" s="22">
        <v>0</v>
      </c>
      <c r="N23" s="26">
        <v>0</v>
      </c>
      <c r="O23" s="31">
        <v>26.71</v>
      </c>
      <c r="P23" s="31">
        <v>26.71</v>
      </c>
      <c r="Q23" s="7" t="e">
        <f t="shared" si="5"/>
        <v>#DIV/0!</v>
      </c>
      <c r="R23" s="7">
        <f t="shared" si="6"/>
        <v>7870.5353800074872</v>
      </c>
      <c r="S23" s="36">
        <f t="shared" si="7"/>
        <v>0.18068263039502955</v>
      </c>
      <c r="T23" s="31">
        <v>0</v>
      </c>
      <c r="U23" t="s">
        <v>130</v>
      </c>
      <c r="W23" t="s">
        <v>28</v>
      </c>
    </row>
    <row r="24" spans="1:23" x14ac:dyDescent="0.25">
      <c r="A24" t="s">
        <v>128</v>
      </c>
      <c r="B24" t="s">
        <v>129</v>
      </c>
      <c r="C24" s="17">
        <v>45736</v>
      </c>
      <c r="D24" s="7">
        <v>378000</v>
      </c>
      <c r="E24" t="s">
        <v>131</v>
      </c>
      <c r="F24" t="s">
        <v>86</v>
      </c>
      <c r="G24" s="7">
        <v>378000</v>
      </c>
      <c r="H24" s="7">
        <v>139000</v>
      </c>
      <c r="I24" s="12">
        <f t="shared" si="4"/>
        <v>36.772486772486772</v>
      </c>
      <c r="J24" s="7">
        <v>276289</v>
      </c>
      <c r="K24" s="7">
        <f>G24-189778</f>
        <v>188222</v>
      </c>
      <c r="L24" s="7">
        <v>86511</v>
      </c>
      <c r="M24" s="22">
        <v>0</v>
      </c>
      <c r="N24" s="26">
        <v>0</v>
      </c>
      <c r="O24" s="31">
        <v>26.71</v>
      </c>
      <c r="P24" s="31">
        <v>26.71</v>
      </c>
      <c r="Q24" s="7" t="e">
        <f t="shared" si="5"/>
        <v>#DIV/0!</v>
      </c>
      <c r="R24" s="7">
        <f t="shared" si="6"/>
        <v>7046.8738300262075</v>
      </c>
      <c r="S24" s="36">
        <f t="shared" si="7"/>
        <v>0.1617739630400874</v>
      </c>
      <c r="T24" s="31">
        <v>0</v>
      </c>
      <c r="U24" t="s">
        <v>132</v>
      </c>
      <c r="W24" t="s">
        <v>28</v>
      </c>
    </row>
    <row r="25" spans="1:23" x14ac:dyDescent="0.25">
      <c r="A25" t="s">
        <v>139</v>
      </c>
      <c r="B25" t="s">
        <v>140</v>
      </c>
      <c r="C25" s="17">
        <v>45127</v>
      </c>
      <c r="D25" s="7">
        <v>90000</v>
      </c>
      <c r="E25" t="s">
        <v>25</v>
      </c>
      <c r="F25" t="s">
        <v>26</v>
      </c>
      <c r="G25" s="7">
        <v>90000</v>
      </c>
      <c r="H25" s="7">
        <v>37200</v>
      </c>
      <c r="I25" s="12">
        <f t="shared" si="4"/>
        <v>41.333333333333336</v>
      </c>
      <c r="J25" s="7">
        <v>91826</v>
      </c>
      <c r="K25" s="7">
        <f>G25-50308</f>
        <v>39692</v>
      </c>
      <c r="L25" s="7">
        <v>41518</v>
      </c>
      <c r="M25" s="22">
        <v>0</v>
      </c>
      <c r="N25" s="26">
        <v>0</v>
      </c>
      <c r="O25" s="31">
        <v>9.92</v>
      </c>
      <c r="P25" s="31">
        <v>9.92</v>
      </c>
      <c r="Q25" s="7" t="e">
        <f t="shared" si="5"/>
        <v>#DIV/0!</v>
      </c>
      <c r="R25" s="7">
        <f t="shared" si="6"/>
        <v>4001.2096774193546</v>
      </c>
      <c r="S25" s="36">
        <f t="shared" si="7"/>
        <v>9.1855134926982426E-2</v>
      </c>
      <c r="T25" s="31">
        <v>0</v>
      </c>
      <c r="U25" t="s">
        <v>141</v>
      </c>
      <c r="W25" t="s">
        <v>28</v>
      </c>
    </row>
    <row r="26" spans="1:23" x14ac:dyDescent="0.25">
      <c r="A26" t="s">
        <v>142</v>
      </c>
      <c r="B26" t="s">
        <v>143</v>
      </c>
      <c r="C26" s="17">
        <v>45461</v>
      </c>
      <c r="D26" s="7">
        <v>233000</v>
      </c>
      <c r="E26" t="s">
        <v>25</v>
      </c>
      <c r="F26" t="s">
        <v>26</v>
      </c>
      <c r="G26" s="7">
        <v>233000</v>
      </c>
      <c r="H26" s="7">
        <v>86700</v>
      </c>
      <c r="I26" s="12">
        <f t="shared" si="4"/>
        <v>37.210300429184549</v>
      </c>
      <c r="J26" s="7">
        <v>201134</v>
      </c>
      <c r="K26" s="7">
        <f>G26-191786</f>
        <v>41214</v>
      </c>
      <c r="L26" s="7">
        <v>9348</v>
      </c>
      <c r="M26" s="22">
        <v>0</v>
      </c>
      <c r="N26" s="26">
        <v>0</v>
      </c>
      <c r="O26" s="31">
        <v>0.53400000000000003</v>
      </c>
      <c r="P26" s="31">
        <v>0.53400000000000003</v>
      </c>
      <c r="Q26" s="7" t="e">
        <f t="shared" si="5"/>
        <v>#DIV/0!</v>
      </c>
      <c r="R26" s="7">
        <f t="shared" si="6"/>
        <v>77179.775280898873</v>
      </c>
      <c r="S26" s="36">
        <f t="shared" si="7"/>
        <v>1.771803840241021</v>
      </c>
      <c r="T26" s="31">
        <v>0</v>
      </c>
      <c r="U26" t="s">
        <v>144</v>
      </c>
      <c r="W26" t="s">
        <v>28</v>
      </c>
    </row>
    <row r="27" spans="1:23" x14ac:dyDescent="0.25">
      <c r="A27" t="s">
        <v>145</v>
      </c>
      <c r="B27" t="s">
        <v>146</v>
      </c>
      <c r="C27" s="17">
        <v>45177</v>
      </c>
      <c r="D27" s="7">
        <v>150000</v>
      </c>
      <c r="E27" t="s">
        <v>25</v>
      </c>
      <c r="F27" t="s">
        <v>26</v>
      </c>
      <c r="G27" s="7">
        <v>150000</v>
      </c>
      <c r="H27" s="7">
        <v>68000</v>
      </c>
      <c r="I27" s="12">
        <f t="shared" si="4"/>
        <v>45.333333333333329</v>
      </c>
      <c r="J27" s="7">
        <v>155213</v>
      </c>
      <c r="K27" s="7">
        <f>G27-147257</f>
        <v>2743</v>
      </c>
      <c r="L27" s="7">
        <v>7956</v>
      </c>
      <c r="M27" s="22">
        <v>0</v>
      </c>
      <c r="N27" s="26">
        <v>0</v>
      </c>
      <c r="O27" s="31">
        <v>0.30299999999999999</v>
      </c>
      <c r="P27" s="31">
        <v>0.30299999999999999</v>
      </c>
      <c r="Q27" s="7" t="e">
        <f t="shared" si="5"/>
        <v>#DIV/0!</v>
      </c>
      <c r="R27" s="7">
        <f t="shared" si="6"/>
        <v>9052.8052805280531</v>
      </c>
      <c r="S27" s="36">
        <f t="shared" si="7"/>
        <v>0.20782381268429875</v>
      </c>
      <c r="T27" s="31">
        <v>0</v>
      </c>
      <c r="U27" t="s">
        <v>147</v>
      </c>
      <c r="W27" t="s">
        <v>28</v>
      </c>
    </row>
    <row r="28" spans="1:23" x14ac:dyDescent="0.25">
      <c r="A28" t="s">
        <v>151</v>
      </c>
      <c r="B28" t="s">
        <v>152</v>
      </c>
      <c r="C28" s="17">
        <v>45461</v>
      </c>
      <c r="D28" s="7">
        <v>230000</v>
      </c>
      <c r="E28" t="s">
        <v>25</v>
      </c>
      <c r="F28" t="s">
        <v>26</v>
      </c>
      <c r="G28" s="7">
        <v>230000</v>
      </c>
      <c r="H28" s="7">
        <v>122800</v>
      </c>
      <c r="I28" s="12">
        <f t="shared" si="4"/>
        <v>53.391304347826086</v>
      </c>
      <c r="J28" s="7">
        <v>182453</v>
      </c>
      <c r="K28" s="7">
        <f>G28-164785</f>
        <v>65215</v>
      </c>
      <c r="L28" s="7">
        <v>17668</v>
      </c>
      <c r="M28" s="22">
        <v>0</v>
      </c>
      <c r="N28" s="26">
        <v>0</v>
      </c>
      <c r="O28" s="31">
        <v>1.0900000000000001</v>
      </c>
      <c r="P28" s="31">
        <v>1.0900000000000001</v>
      </c>
      <c r="Q28" s="7" t="e">
        <f t="shared" si="5"/>
        <v>#DIV/0!</v>
      </c>
      <c r="R28" s="7">
        <f t="shared" si="6"/>
        <v>59830.275229357794</v>
      </c>
      <c r="S28" s="36">
        <f t="shared" si="7"/>
        <v>1.3735141237226307</v>
      </c>
      <c r="T28" s="31">
        <v>0</v>
      </c>
      <c r="U28" t="s">
        <v>153</v>
      </c>
      <c r="W28" t="s">
        <v>28</v>
      </c>
    </row>
    <row r="29" spans="1:23" x14ac:dyDescent="0.25">
      <c r="A29" t="s">
        <v>157</v>
      </c>
      <c r="B29" t="s">
        <v>158</v>
      </c>
      <c r="C29" s="17">
        <v>45252</v>
      </c>
      <c r="D29" s="7">
        <v>180000</v>
      </c>
      <c r="E29" t="s">
        <v>25</v>
      </c>
      <c r="F29" t="s">
        <v>26</v>
      </c>
      <c r="G29" s="7">
        <v>180000</v>
      </c>
      <c r="H29" s="7">
        <v>83100</v>
      </c>
      <c r="I29" s="12">
        <f>H29/G29*100</f>
        <v>46.166666666666664</v>
      </c>
      <c r="J29" s="7">
        <v>185817</v>
      </c>
      <c r="K29" s="7">
        <f>G29-159935</f>
        <v>20065</v>
      </c>
      <c r="L29" s="7">
        <v>25882</v>
      </c>
      <c r="M29" s="22">
        <v>0</v>
      </c>
      <c r="N29" s="26">
        <v>0</v>
      </c>
      <c r="O29" s="31">
        <v>4.1100000000000003</v>
      </c>
      <c r="P29" s="31">
        <v>4.1100000000000003</v>
      </c>
      <c r="Q29" s="7" t="e">
        <f>K29/M29</f>
        <v>#DIV/0!</v>
      </c>
      <c r="R29" s="7">
        <f>K29/O29</f>
        <v>4881.9951338199508</v>
      </c>
      <c r="S29" s="36">
        <f>K29/O29/43560</f>
        <v>0.11207518672681246</v>
      </c>
      <c r="T29" s="31">
        <v>0</v>
      </c>
      <c r="U29" t="s">
        <v>159</v>
      </c>
      <c r="W29" t="s">
        <v>28</v>
      </c>
    </row>
    <row r="30" spans="1:23" x14ac:dyDescent="0.25">
      <c r="A30" t="s">
        <v>163</v>
      </c>
      <c r="B30" t="s">
        <v>164</v>
      </c>
      <c r="C30" s="17">
        <v>45615</v>
      </c>
      <c r="D30" s="7">
        <v>77000</v>
      </c>
      <c r="E30" t="s">
        <v>25</v>
      </c>
      <c r="F30" t="s">
        <v>26</v>
      </c>
      <c r="G30" s="7">
        <v>77000</v>
      </c>
      <c r="H30" s="7">
        <v>33700</v>
      </c>
      <c r="I30" s="12">
        <f>H30/G30*100</f>
        <v>43.766233766233768</v>
      </c>
      <c r="J30" s="7">
        <v>86846</v>
      </c>
      <c r="K30" s="7">
        <f>G30-67544</f>
        <v>9456</v>
      </c>
      <c r="L30" s="7">
        <v>19302</v>
      </c>
      <c r="M30" s="22">
        <v>0</v>
      </c>
      <c r="N30" s="26">
        <v>0</v>
      </c>
      <c r="O30" s="31">
        <v>1.75</v>
      </c>
      <c r="P30" s="31">
        <v>1.75</v>
      </c>
      <c r="Q30" s="7" t="e">
        <f>K30/M30</f>
        <v>#DIV/0!</v>
      </c>
      <c r="R30" s="7">
        <f>K30/O30</f>
        <v>5403.4285714285716</v>
      </c>
      <c r="S30" s="36">
        <f>K30/O30/43560</f>
        <v>0.12404565131837859</v>
      </c>
      <c r="T30" s="31">
        <v>0</v>
      </c>
      <c r="U30" t="s">
        <v>165</v>
      </c>
      <c r="W30" t="s">
        <v>28</v>
      </c>
    </row>
    <row r="31" spans="1:23" x14ac:dyDescent="0.25">
      <c r="A31" t="s">
        <v>163</v>
      </c>
      <c r="B31" t="s">
        <v>164</v>
      </c>
      <c r="C31" s="17">
        <v>45693</v>
      </c>
      <c r="D31" s="7">
        <v>132000</v>
      </c>
      <c r="E31" t="s">
        <v>25</v>
      </c>
      <c r="F31" t="s">
        <v>26</v>
      </c>
      <c r="G31" s="7">
        <v>132000</v>
      </c>
      <c r="H31" s="7">
        <v>33700</v>
      </c>
      <c r="I31" s="12">
        <f>H31/G31*100</f>
        <v>25.530303030303031</v>
      </c>
      <c r="J31" s="7">
        <v>86846</v>
      </c>
      <c r="K31" s="7">
        <f>G31-67544</f>
        <v>64456</v>
      </c>
      <c r="L31" s="7">
        <v>19302</v>
      </c>
      <c r="M31" s="22">
        <v>0</v>
      </c>
      <c r="N31" s="26">
        <v>0</v>
      </c>
      <c r="O31" s="31">
        <v>1.75</v>
      </c>
      <c r="P31" s="31">
        <v>1.75</v>
      </c>
      <c r="Q31" s="7" t="e">
        <f>K31/M31</f>
        <v>#DIV/0!</v>
      </c>
      <c r="R31" s="7">
        <f>K31/O31</f>
        <v>36832</v>
      </c>
      <c r="S31" s="36">
        <f>K31/O31/43560</f>
        <v>0.84554637281910006</v>
      </c>
      <c r="T31" s="31">
        <v>0</v>
      </c>
      <c r="U31" t="s">
        <v>166</v>
      </c>
      <c r="W31" t="s">
        <v>28</v>
      </c>
    </row>
    <row r="32" spans="1:23" x14ac:dyDescent="0.25">
      <c r="A32" t="s">
        <v>170</v>
      </c>
      <c r="B32" t="s">
        <v>171</v>
      </c>
      <c r="C32" s="17">
        <v>45135</v>
      </c>
      <c r="D32" s="7">
        <v>445000</v>
      </c>
      <c r="E32" t="s">
        <v>25</v>
      </c>
      <c r="F32" t="s">
        <v>26</v>
      </c>
      <c r="G32" s="7">
        <v>445000</v>
      </c>
      <c r="H32" s="7">
        <v>143500</v>
      </c>
      <c r="I32" s="12">
        <f t="shared" ref="I32:I80" si="8">H32/G32*100</f>
        <v>32.247191011235955</v>
      </c>
      <c r="J32" s="7">
        <v>319904</v>
      </c>
      <c r="K32" s="7">
        <f>G32-278066</f>
        <v>166934</v>
      </c>
      <c r="L32" s="7">
        <v>41838</v>
      </c>
      <c r="M32" s="22">
        <v>0</v>
      </c>
      <c r="N32" s="26">
        <v>0</v>
      </c>
      <c r="O32" s="31">
        <v>10.039999999999999</v>
      </c>
      <c r="P32" s="31">
        <v>10.039999999999999</v>
      </c>
      <c r="Q32" s="7" t="e">
        <f t="shared" ref="Q32:Q60" si="9">K32/M32</f>
        <v>#DIV/0!</v>
      </c>
      <c r="R32" s="7">
        <f t="shared" ref="R32:R60" si="10">K32/O32</f>
        <v>16626.892430278887</v>
      </c>
      <c r="S32" s="36">
        <f t="shared" ref="S32:S60" si="11">K32/O32/43560</f>
        <v>0.38170092815148959</v>
      </c>
      <c r="T32" s="31">
        <v>0</v>
      </c>
      <c r="U32" t="s">
        <v>172</v>
      </c>
      <c r="W32" t="s">
        <v>28</v>
      </c>
    </row>
    <row r="33" spans="1:23" x14ac:dyDescent="0.25">
      <c r="A33" t="s">
        <v>177</v>
      </c>
      <c r="B33" t="s">
        <v>178</v>
      </c>
      <c r="C33" s="17">
        <v>45546</v>
      </c>
      <c r="D33" s="7">
        <v>23000</v>
      </c>
      <c r="E33" t="s">
        <v>29</v>
      </c>
      <c r="F33" t="s">
        <v>86</v>
      </c>
      <c r="G33" s="7">
        <v>23000</v>
      </c>
      <c r="H33" s="7">
        <v>10100</v>
      </c>
      <c r="I33" s="12">
        <f t="shared" si="8"/>
        <v>43.913043478260875</v>
      </c>
      <c r="J33" s="7">
        <v>20227</v>
      </c>
      <c r="K33" s="7">
        <f>G33-0</f>
        <v>23000</v>
      </c>
      <c r="L33" s="7">
        <v>18525</v>
      </c>
      <c r="M33" s="22">
        <v>0</v>
      </c>
      <c r="N33" s="26">
        <v>0</v>
      </c>
      <c r="O33" s="31">
        <v>0.95</v>
      </c>
      <c r="P33" s="31">
        <v>0.95</v>
      </c>
      <c r="Q33" s="7" t="e">
        <f t="shared" si="9"/>
        <v>#DIV/0!</v>
      </c>
      <c r="R33" s="7">
        <f t="shared" si="10"/>
        <v>24210.526315789473</v>
      </c>
      <c r="S33" s="36">
        <f t="shared" si="11"/>
        <v>0.55579720651490983</v>
      </c>
      <c r="T33" s="31">
        <v>0</v>
      </c>
      <c r="U33" t="s">
        <v>175</v>
      </c>
      <c r="V33" t="s">
        <v>179</v>
      </c>
      <c r="W33" t="s">
        <v>28</v>
      </c>
    </row>
    <row r="34" spans="1:23" x14ac:dyDescent="0.25">
      <c r="A34" t="s">
        <v>180</v>
      </c>
      <c r="B34" t="s">
        <v>178</v>
      </c>
      <c r="C34" s="17">
        <v>45546</v>
      </c>
      <c r="D34" s="7">
        <v>23000</v>
      </c>
      <c r="E34" t="s">
        <v>29</v>
      </c>
      <c r="F34" t="s">
        <v>86</v>
      </c>
      <c r="G34" s="7">
        <v>23000</v>
      </c>
      <c r="H34" s="7">
        <v>9300</v>
      </c>
      <c r="I34" s="12">
        <f t="shared" si="8"/>
        <v>40.434782608695649</v>
      </c>
      <c r="J34" s="7">
        <v>18525</v>
      </c>
      <c r="K34" s="7">
        <f>G34-0</f>
        <v>23000</v>
      </c>
      <c r="L34" s="7">
        <v>18525</v>
      </c>
      <c r="M34" s="22">
        <v>0</v>
      </c>
      <c r="N34" s="26">
        <v>0</v>
      </c>
      <c r="O34" s="31">
        <v>0.95</v>
      </c>
      <c r="P34" s="31">
        <v>0.95</v>
      </c>
      <c r="Q34" s="7" t="e">
        <f t="shared" si="9"/>
        <v>#DIV/0!</v>
      </c>
      <c r="R34" s="7">
        <f t="shared" si="10"/>
        <v>24210.526315789473</v>
      </c>
      <c r="S34" s="36">
        <f t="shared" si="11"/>
        <v>0.55579720651490983</v>
      </c>
      <c r="T34" s="31">
        <v>0</v>
      </c>
      <c r="U34" t="s">
        <v>175</v>
      </c>
      <c r="V34" t="s">
        <v>181</v>
      </c>
      <c r="W34" t="s">
        <v>28</v>
      </c>
    </row>
    <row r="35" spans="1:23" x14ac:dyDescent="0.25">
      <c r="A35" t="s">
        <v>182</v>
      </c>
      <c r="B35" t="s">
        <v>178</v>
      </c>
      <c r="C35" s="17">
        <v>45546</v>
      </c>
      <c r="D35" s="7">
        <v>23000</v>
      </c>
      <c r="E35" t="s">
        <v>29</v>
      </c>
      <c r="F35" t="s">
        <v>86</v>
      </c>
      <c r="G35" s="7">
        <v>23000</v>
      </c>
      <c r="H35" s="7">
        <v>9300</v>
      </c>
      <c r="I35" s="12">
        <f t="shared" si="8"/>
        <v>40.434782608695649</v>
      </c>
      <c r="J35" s="7">
        <v>18525</v>
      </c>
      <c r="K35" s="7">
        <f>G35-0</f>
        <v>23000</v>
      </c>
      <c r="L35" s="7">
        <v>18525</v>
      </c>
      <c r="M35" s="22">
        <v>0</v>
      </c>
      <c r="N35" s="26">
        <v>0</v>
      </c>
      <c r="O35" s="31">
        <v>0.95</v>
      </c>
      <c r="P35" s="31">
        <v>0.95</v>
      </c>
      <c r="Q35" s="7" t="e">
        <f t="shared" si="9"/>
        <v>#DIV/0!</v>
      </c>
      <c r="R35" s="7">
        <f t="shared" si="10"/>
        <v>24210.526315789473</v>
      </c>
      <c r="S35" s="36">
        <f t="shared" si="11"/>
        <v>0.55579720651490983</v>
      </c>
      <c r="T35" s="31">
        <v>0</v>
      </c>
      <c r="U35" t="s">
        <v>175</v>
      </c>
      <c r="V35" t="s">
        <v>183</v>
      </c>
      <c r="W35" t="s">
        <v>28</v>
      </c>
    </row>
    <row r="36" spans="1:23" x14ac:dyDescent="0.25">
      <c r="A36" t="s">
        <v>184</v>
      </c>
      <c r="B36" t="s">
        <v>185</v>
      </c>
      <c r="C36" s="17">
        <v>45408</v>
      </c>
      <c r="D36" s="7">
        <v>208000</v>
      </c>
      <c r="E36" t="s">
        <v>25</v>
      </c>
      <c r="F36" t="s">
        <v>26</v>
      </c>
      <c r="G36" s="7">
        <v>208000</v>
      </c>
      <c r="H36" s="7">
        <v>65200</v>
      </c>
      <c r="I36" s="12">
        <f t="shared" si="8"/>
        <v>31.346153846153847</v>
      </c>
      <c r="J36" s="7">
        <v>170556</v>
      </c>
      <c r="K36" s="7">
        <f>G36-150321</f>
        <v>57679</v>
      </c>
      <c r="L36" s="7">
        <v>20235</v>
      </c>
      <c r="M36" s="22">
        <v>0</v>
      </c>
      <c r="N36" s="26">
        <v>0</v>
      </c>
      <c r="O36" s="31">
        <v>2.02</v>
      </c>
      <c r="P36" s="31">
        <v>2.02</v>
      </c>
      <c r="Q36" s="7" t="e">
        <f t="shared" si="9"/>
        <v>#DIV/0!</v>
      </c>
      <c r="R36" s="7">
        <f t="shared" si="10"/>
        <v>28553.960396039605</v>
      </c>
      <c r="S36" s="36">
        <f t="shared" si="11"/>
        <v>0.65550873269145105</v>
      </c>
      <c r="T36" s="31">
        <v>0</v>
      </c>
      <c r="U36" t="s">
        <v>186</v>
      </c>
      <c r="W36" t="s">
        <v>28</v>
      </c>
    </row>
    <row r="37" spans="1:23" x14ac:dyDescent="0.25">
      <c r="A37" t="s">
        <v>193</v>
      </c>
      <c r="B37" t="s">
        <v>194</v>
      </c>
      <c r="C37" s="17">
        <v>45128</v>
      </c>
      <c r="D37" s="7">
        <v>118000</v>
      </c>
      <c r="E37" t="s">
        <v>25</v>
      </c>
      <c r="F37" t="s">
        <v>26</v>
      </c>
      <c r="G37" s="7">
        <v>118000</v>
      </c>
      <c r="H37" s="7">
        <v>46400</v>
      </c>
      <c r="I37" s="12">
        <f t="shared" si="8"/>
        <v>39.322033898305087</v>
      </c>
      <c r="J37" s="7">
        <v>65344</v>
      </c>
      <c r="K37" s="7">
        <f>G37-0</f>
        <v>118000</v>
      </c>
      <c r="L37" s="7">
        <v>65344</v>
      </c>
      <c r="M37" s="22">
        <v>0</v>
      </c>
      <c r="N37" s="26">
        <v>0</v>
      </c>
      <c r="O37" s="31">
        <v>24.49</v>
      </c>
      <c r="P37" s="31">
        <v>24.49</v>
      </c>
      <c r="Q37" s="7" t="e">
        <f t="shared" si="9"/>
        <v>#DIV/0!</v>
      </c>
      <c r="R37" s="7">
        <f t="shared" si="10"/>
        <v>4818.2931808901594</v>
      </c>
      <c r="S37" s="36">
        <f t="shared" si="11"/>
        <v>0.11061279111318088</v>
      </c>
      <c r="T37" s="31">
        <v>0</v>
      </c>
      <c r="U37" t="s">
        <v>195</v>
      </c>
      <c r="W37" t="s">
        <v>28</v>
      </c>
    </row>
    <row r="38" spans="1:23" x14ac:dyDescent="0.25">
      <c r="A38" t="s">
        <v>196</v>
      </c>
      <c r="B38" t="s">
        <v>197</v>
      </c>
      <c r="C38" s="17">
        <v>45184</v>
      </c>
      <c r="D38" s="7">
        <v>330000</v>
      </c>
      <c r="E38" t="s">
        <v>25</v>
      </c>
      <c r="F38" t="s">
        <v>26</v>
      </c>
      <c r="G38" s="7">
        <v>330000</v>
      </c>
      <c r="H38" s="7">
        <v>141100</v>
      </c>
      <c r="I38" s="12">
        <f t="shared" si="8"/>
        <v>42.757575757575758</v>
      </c>
      <c r="J38" s="7">
        <v>324291</v>
      </c>
      <c r="K38" s="7">
        <f>G38-303248</f>
        <v>26752</v>
      </c>
      <c r="L38" s="7">
        <v>21043</v>
      </c>
      <c r="M38" s="22">
        <v>0</v>
      </c>
      <c r="N38" s="26">
        <v>0</v>
      </c>
      <c r="O38" s="31">
        <v>2.4700000000000002</v>
      </c>
      <c r="P38" s="31">
        <v>2.4700000000000002</v>
      </c>
      <c r="Q38" s="7" t="e">
        <f t="shared" si="9"/>
        <v>#DIV/0!</v>
      </c>
      <c r="R38" s="7">
        <f t="shared" si="10"/>
        <v>10830.76923076923</v>
      </c>
      <c r="S38" s="36">
        <f t="shared" si="11"/>
        <v>0.24864024864024864</v>
      </c>
      <c r="T38" s="31">
        <v>0</v>
      </c>
      <c r="U38" t="s">
        <v>198</v>
      </c>
      <c r="W38" t="s">
        <v>28</v>
      </c>
    </row>
    <row r="39" spans="1:23" x14ac:dyDescent="0.25">
      <c r="A39" t="s">
        <v>199</v>
      </c>
      <c r="B39" t="s">
        <v>200</v>
      </c>
      <c r="C39" s="17">
        <v>45744</v>
      </c>
      <c r="D39" s="7">
        <v>274900</v>
      </c>
      <c r="E39" t="s">
        <v>25</v>
      </c>
      <c r="F39" t="s">
        <v>26</v>
      </c>
      <c r="G39" s="7">
        <v>274900</v>
      </c>
      <c r="H39" s="7">
        <v>110000</v>
      </c>
      <c r="I39" s="12">
        <f t="shared" si="8"/>
        <v>40.014550745725721</v>
      </c>
      <c r="J39" s="7">
        <v>230186</v>
      </c>
      <c r="K39" s="7">
        <f>G39-209969</f>
        <v>64931</v>
      </c>
      <c r="L39" s="7">
        <v>20217</v>
      </c>
      <c r="M39" s="22">
        <v>0</v>
      </c>
      <c r="N39" s="26">
        <v>0</v>
      </c>
      <c r="O39" s="31">
        <v>2.19</v>
      </c>
      <c r="P39" s="31">
        <v>2.0099999999999998</v>
      </c>
      <c r="Q39" s="7" t="e">
        <f t="shared" si="9"/>
        <v>#DIV/0!</v>
      </c>
      <c r="R39" s="7">
        <f t="shared" si="10"/>
        <v>29648.858447488587</v>
      </c>
      <c r="S39" s="36">
        <f t="shared" si="11"/>
        <v>0.6806441333215929</v>
      </c>
      <c r="T39" s="31">
        <v>0</v>
      </c>
      <c r="U39" t="s">
        <v>201</v>
      </c>
      <c r="W39" t="s">
        <v>28</v>
      </c>
    </row>
    <row r="40" spans="1:23" x14ac:dyDescent="0.25">
      <c r="A40" t="s">
        <v>205</v>
      </c>
      <c r="B40" t="s">
        <v>206</v>
      </c>
      <c r="C40" s="17">
        <v>45079</v>
      </c>
      <c r="D40" s="7">
        <v>65000</v>
      </c>
      <c r="E40" t="s">
        <v>25</v>
      </c>
      <c r="F40" t="s">
        <v>26</v>
      </c>
      <c r="G40" s="7">
        <v>65000</v>
      </c>
      <c r="H40" s="7">
        <v>25300</v>
      </c>
      <c r="I40" s="12">
        <f t="shared" si="8"/>
        <v>38.92307692307692</v>
      </c>
      <c r="J40" s="7">
        <v>75024</v>
      </c>
      <c r="K40" s="7">
        <f>G40-57374</f>
        <v>7626</v>
      </c>
      <c r="L40" s="7">
        <v>17650</v>
      </c>
      <c r="M40" s="22">
        <v>0</v>
      </c>
      <c r="N40" s="26">
        <v>0</v>
      </c>
      <c r="O40" s="31">
        <v>1.08</v>
      </c>
      <c r="P40" s="31">
        <v>1.08</v>
      </c>
      <c r="Q40" s="7" t="e">
        <f t="shared" si="9"/>
        <v>#DIV/0!</v>
      </c>
      <c r="R40" s="7">
        <f t="shared" si="10"/>
        <v>7061.1111111111104</v>
      </c>
      <c r="S40" s="36">
        <f t="shared" si="11"/>
        <v>0.16210080604019997</v>
      </c>
      <c r="T40" s="31">
        <v>0</v>
      </c>
      <c r="U40" t="s">
        <v>207</v>
      </c>
      <c r="W40" t="s">
        <v>28</v>
      </c>
    </row>
    <row r="41" spans="1:23" x14ac:dyDescent="0.25">
      <c r="A41" t="s">
        <v>208</v>
      </c>
      <c r="B41" t="s">
        <v>209</v>
      </c>
      <c r="C41" s="17">
        <v>45076</v>
      </c>
      <c r="D41" s="7">
        <v>26000</v>
      </c>
      <c r="E41" t="s">
        <v>29</v>
      </c>
      <c r="F41" t="s">
        <v>26</v>
      </c>
      <c r="G41" s="7">
        <v>26000</v>
      </c>
      <c r="H41" s="7">
        <v>9700</v>
      </c>
      <c r="I41" s="12">
        <f t="shared" si="8"/>
        <v>37.307692307692307</v>
      </c>
      <c r="J41" s="7">
        <v>23274</v>
      </c>
      <c r="K41" s="7">
        <f>G41-0</f>
        <v>26000</v>
      </c>
      <c r="L41" s="7">
        <v>23274</v>
      </c>
      <c r="M41" s="22">
        <v>0</v>
      </c>
      <c r="N41" s="26">
        <v>0</v>
      </c>
      <c r="O41" s="31">
        <v>1.56</v>
      </c>
      <c r="P41" s="31">
        <v>1.56</v>
      </c>
      <c r="Q41" s="7" t="e">
        <f t="shared" si="9"/>
        <v>#DIV/0!</v>
      </c>
      <c r="R41" s="7">
        <f t="shared" si="10"/>
        <v>16666.666666666668</v>
      </c>
      <c r="S41" s="36">
        <f t="shared" si="11"/>
        <v>0.38261401897765535</v>
      </c>
      <c r="T41" s="31">
        <v>0</v>
      </c>
      <c r="U41" t="s">
        <v>210</v>
      </c>
      <c r="W41" t="s">
        <v>28</v>
      </c>
    </row>
    <row r="42" spans="1:23" x14ac:dyDescent="0.25">
      <c r="A42" t="s">
        <v>211</v>
      </c>
      <c r="B42" t="s">
        <v>212</v>
      </c>
      <c r="C42" s="17">
        <v>45282</v>
      </c>
      <c r="D42" s="7">
        <v>180000</v>
      </c>
      <c r="E42" t="s">
        <v>25</v>
      </c>
      <c r="F42" t="s">
        <v>26</v>
      </c>
      <c r="G42" s="7">
        <v>180000</v>
      </c>
      <c r="H42" s="7">
        <v>83500</v>
      </c>
      <c r="I42" s="12">
        <f t="shared" si="8"/>
        <v>46.388888888888893</v>
      </c>
      <c r="J42" s="7">
        <v>184556</v>
      </c>
      <c r="K42" s="7">
        <f>G42-167032</f>
        <v>12968</v>
      </c>
      <c r="L42" s="7">
        <v>17524</v>
      </c>
      <c r="M42" s="22">
        <v>0</v>
      </c>
      <c r="N42" s="26">
        <v>0</v>
      </c>
      <c r="O42" s="31">
        <v>1.01</v>
      </c>
      <c r="P42" s="31">
        <v>1.01</v>
      </c>
      <c r="Q42" s="7" t="e">
        <f t="shared" si="9"/>
        <v>#DIV/0!</v>
      </c>
      <c r="R42" s="7">
        <f t="shared" si="10"/>
        <v>12839.60396039604</v>
      </c>
      <c r="S42" s="36">
        <f t="shared" si="11"/>
        <v>0.29475674840211297</v>
      </c>
      <c r="T42" s="31">
        <v>0</v>
      </c>
      <c r="U42" t="s">
        <v>213</v>
      </c>
      <c r="W42" t="s">
        <v>28</v>
      </c>
    </row>
    <row r="43" spans="1:23" x14ac:dyDescent="0.25">
      <c r="A43" t="s">
        <v>214</v>
      </c>
      <c r="B43" t="s">
        <v>215</v>
      </c>
      <c r="C43" s="17">
        <v>45429</v>
      </c>
      <c r="D43" s="7">
        <v>170000</v>
      </c>
      <c r="E43" t="s">
        <v>25</v>
      </c>
      <c r="F43" t="s">
        <v>26</v>
      </c>
      <c r="G43" s="7">
        <v>170000</v>
      </c>
      <c r="H43" s="7">
        <v>68500</v>
      </c>
      <c r="I43" s="12">
        <f t="shared" si="8"/>
        <v>40.294117647058826</v>
      </c>
      <c r="J43" s="7">
        <v>135216</v>
      </c>
      <c r="K43" s="7">
        <f>G43-110303</f>
        <v>59697</v>
      </c>
      <c r="L43" s="7">
        <v>24913</v>
      </c>
      <c r="M43" s="22">
        <v>0</v>
      </c>
      <c r="N43" s="26">
        <v>0</v>
      </c>
      <c r="O43" s="31">
        <v>7</v>
      </c>
      <c r="P43" s="31">
        <v>7</v>
      </c>
      <c r="Q43" s="7" t="e">
        <f t="shared" si="9"/>
        <v>#DIV/0!</v>
      </c>
      <c r="R43" s="7">
        <f t="shared" si="10"/>
        <v>8528.1428571428569</v>
      </c>
      <c r="S43" s="36">
        <f t="shared" si="11"/>
        <v>0.19577922077922078</v>
      </c>
      <c r="T43" s="31">
        <v>0</v>
      </c>
      <c r="U43" t="s">
        <v>216</v>
      </c>
      <c r="W43" t="s">
        <v>28</v>
      </c>
    </row>
    <row r="44" spans="1:23" x14ac:dyDescent="0.25">
      <c r="A44" t="s">
        <v>217</v>
      </c>
      <c r="B44" t="s">
        <v>218</v>
      </c>
      <c r="C44" s="17">
        <v>45622</v>
      </c>
      <c r="D44" s="7">
        <v>55000</v>
      </c>
      <c r="E44" t="s">
        <v>25</v>
      </c>
      <c r="F44" t="s">
        <v>26</v>
      </c>
      <c r="G44" s="7">
        <v>55000</v>
      </c>
      <c r="H44" s="7">
        <v>49580</v>
      </c>
      <c r="I44" s="12">
        <f t="shared" si="8"/>
        <v>90.145454545454555</v>
      </c>
      <c r="J44" s="7">
        <v>30921</v>
      </c>
      <c r="K44" s="7">
        <f>G44-0</f>
        <v>55000</v>
      </c>
      <c r="L44" s="7">
        <v>30921</v>
      </c>
      <c r="M44" s="22">
        <v>0</v>
      </c>
      <c r="N44" s="26">
        <v>0</v>
      </c>
      <c r="O44" s="31">
        <v>6.07</v>
      </c>
      <c r="P44" s="31">
        <v>6.07</v>
      </c>
      <c r="Q44" s="7" t="e">
        <f t="shared" si="9"/>
        <v>#DIV/0!</v>
      </c>
      <c r="R44" s="7">
        <f t="shared" si="10"/>
        <v>9060.9555189456332</v>
      </c>
      <c r="S44" s="36">
        <f t="shared" si="11"/>
        <v>0.20801091641289332</v>
      </c>
      <c r="T44" s="31">
        <v>0</v>
      </c>
      <c r="U44" t="s">
        <v>219</v>
      </c>
      <c r="W44" t="s">
        <v>28</v>
      </c>
    </row>
    <row r="45" spans="1:23" x14ac:dyDescent="0.25">
      <c r="A45" t="s">
        <v>227</v>
      </c>
      <c r="B45" t="s">
        <v>228</v>
      </c>
      <c r="C45" s="17">
        <v>45635</v>
      </c>
      <c r="D45" s="7">
        <v>150000</v>
      </c>
      <c r="E45" t="s">
        <v>25</v>
      </c>
      <c r="F45" t="s">
        <v>26</v>
      </c>
      <c r="G45" s="7">
        <v>150000</v>
      </c>
      <c r="H45" s="7">
        <v>75900</v>
      </c>
      <c r="I45" s="12">
        <f t="shared" si="8"/>
        <v>50.6</v>
      </c>
      <c r="J45" s="7">
        <v>150528</v>
      </c>
      <c r="K45" s="7">
        <f>G45-131801</f>
        <v>18199</v>
      </c>
      <c r="L45" s="7">
        <v>18727</v>
      </c>
      <c r="M45" s="22">
        <v>0</v>
      </c>
      <c r="N45" s="26">
        <v>0</v>
      </c>
      <c r="O45" s="31">
        <v>1.59</v>
      </c>
      <c r="P45" s="31">
        <v>1.59</v>
      </c>
      <c r="Q45" s="7" t="e">
        <f t="shared" si="9"/>
        <v>#DIV/0!</v>
      </c>
      <c r="R45" s="7">
        <f t="shared" si="10"/>
        <v>11445.911949685535</v>
      </c>
      <c r="S45" s="36">
        <f t="shared" si="11"/>
        <v>0.26276198231601317</v>
      </c>
      <c r="T45" s="31">
        <v>0</v>
      </c>
      <c r="U45" t="s">
        <v>229</v>
      </c>
      <c r="W45" t="s">
        <v>28</v>
      </c>
    </row>
    <row r="46" spans="1:23" x14ac:dyDescent="0.25">
      <c r="A46" t="s">
        <v>230</v>
      </c>
      <c r="B46" t="s">
        <v>231</v>
      </c>
      <c r="C46" s="17">
        <v>45408</v>
      </c>
      <c r="D46" s="7">
        <v>195000</v>
      </c>
      <c r="E46" t="s">
        <v>25</v>
      </c>
      <c r="F46" t="s">
        <v>26</v>
      </c>
      <c r="G46" s="7">
        <v>195000</v>
      </c>
      <c r="H46" s="7">
        <v>86100</v>
      </c>
      <c r="I46" s="12">
        <f t="shared" si="8"/>
        <v>44.153846153846153</v>
      </c>
      <c r="J46" s="7">
        <v>172659</v>
      </c>
      <c r="K46" s="7">
        <f>G46-152034</f>
        <v>42966</v>
      </c>
      <c r="L46" s="7">
        <v>20625</v>
      </c>
      <c r="M46" s="22">
        <v>0</v>
      </c>
      <c r="N46" s="26">
        <v>0</v>
      </c>
      <c r="O46" s="31">
        <v>1.84</v>
      </c>
      <c r="P46" s="31">
        <v>1.84</v>
      </c>
      <c r="Q46" s="7" t="e">
        <f t="shared" si="9"/>
        <v>#DIV/0!</v>
      </c>
      <c r="R46" s="7">
        <f t="shared" si="10"/>
        <v>23351.08695652174</v>
      </c>
      <c r="S46" s="36">
        <f t="shared" si="11"/>
        <v>0.5360671936758894</v>
      </c>
      <c r="T46" s="31">
        <v>0</v>
      </c>
      <c r="U46" t="s">
        <v>232</v>
      </c>
      <c r="W46" t="s">
        <v>28</v>
      </c>
    </row>
    <row r="47" spans="1:23" x14ac:dyDescent="0.25">
      <c r="A47" t="s">
        <v>233</v>
      </c>
      <c r="B47" t="s">
        <v>234</v>
      </c>
      <c r="C47" s="17">
        <v>45546</v>
      </c>
      <c r="D47" s="7">
        <v>300000</v>
      </c>
      <c r="E47" t="s">
        <v>25</v>
      </c>
      <c r="F47" t="s">
        <v>26</v>
      </c>
      <c r="G47" s="7">
        <v>300000</v>
      </c>
      <c r="H47" s="7">
        <v>112900</v>
      </c>
      <c r="I47" s="12">
        <f t="shared" si="8"/>
        <v>37.633333333333333</v>
      </c>
      <c r="J47" s="7">
        <v>223625</v>
      </c>
      <c r="K47" s="7">
        <f>G47-181250</f>
        <v>118750</v>
      </c>
      <c r="L47" s="7">
        <v>42375</v>
      </c>
      <c r="M47" s="22">
        <v>0</v>
      </c>
      <c r="N47" s="26">
        <v>0</v>
      </c>
      <c r="O47" s="31">
        <v>10.27</v>
      </c>
      <c r="P47" s="31">
        <v>10.27</v>
      </c>
      <c r="Q47" s="7" t="e">
        <f t="shared" si="9"/>
        <v>#DIV/0!</v>
      </c>
      <c r="R47" s="7">
        <f t="shared" si="10"/>
        <v>11562.804284323272</v>
      </c>
      <c r="S47" s="36">
        <f t="shared" si="11"/>
        <v>0.26544546107261874</v>
      </c>
      <c r="T47" s="31">
        <v>0</v>
      </c>
      <c r="U47" t="s">
        <v>235</v>
      </c>
      <c r="W47" t="s">
        <v>28</v>
      </c>
    </row>
    <row r="48" spans="1:23" x14ac:dyDescent="0.25">
      <c r="A48" t="s">
        <v>236</v>
      </c>
      <c r="B48" t="s">
        <v>237</v>
      </c>
      <c r="C48" s="17">
        <v>45574</v>
      </c>
      <c r="D48" s="7">
        <v>269000</v>
      </c>
      <c r="E48" t="s">
        <v>25</v>
      </c>
      <c r="F48" t="s">
        <v>26</v>
      </c>
      <c r="G48" s="7">
        <v>269000</v>
      </c>
      <c r="H48" s="7">
        <v>89500</v>
      </c>
      <c r="I48" s="12">
        <f t="shared" si="8"/>
        <v>33.271375464684013</v>
      </c>
      <c r="J48" s="7">
        <v>225028</v>
      </c>
      <c r="K48" s="7">
        <f>G48-183260</f>
        <v>85740</v>
      </c>
      <c r="L48" s="7">
        <v>41768</v>
      </c>
      <c r="M48" s="22">
        <v>0</v>
      </c>
      <c r="N48" s="26">
        <v>0</v>
      </c>
      <c r="O48" s="31">
        <v>10.01</v>
      </c>
      <c r="P48" s="31">
        <v>10.01</v>
      </c>
      <c r="Q48" s="7" t="e">
        <f t="shared" si="9"/>
        <v>#DIV/0!</v>
      </c>
      <c r="R48" s="7">
        <f t="shared" si="10"/>
        <v>8565.4345654345652</v>
      </c>
      <c r="S48" s="36">
        <f t="shared" si="11"/>
        <v>0.19663532060226274</v>
      </c>
      <c r="T48" s="31">
        <v>0</v>
      </c>
      <c r="U48" t="s">
        <v>238</v>
      </c>
      <c r="W48" t="s">
        <v>28</v>
      </c>
    </row>
    <row r="49" spans="1:24" x14ac:dyDescent="0.25">
      <c r="A49" t="s">
        <v>239</v>
      </c>
      <c r="B49" t="s">
        <v>240</v>
      </c>
      <c r="C49" s="17">
        <v>45541</v>
      </c>
      <c r="D49" s="7">
        <v>500000</v>
      </c>
      <c r="E49" t="s">
        <v>25</v>
      </c>
      <c r="F49" t="s">
        <v>26</v>
      </c>
      <c r="G49" s="7">
        <v>500000</v>
      </c>
      <c r="H49" s="7">
        <v>193200</v>
      </c>
      <c r="I49" s="12">
        <f t="shared" si="8"/>
        <v>38.64</v>
      </c>
      <c r="J49" s="7">
        <v>388292</v>
      </c>
      <c r="K49" s="7">
        <f>G49-337780</f>
        <v>162220</v>
      </c>
      <c r="L49" s="7">
        <v>50512</v>
      </c>
      <c r="M49" s="22">
        <v>0</v>
      </c>
      <c r="N49" s="26">
        <v>0</v>
      </c>
      <c r="O49" s="31">
        <v>14.01</v>
      </c>
      <c r="P49" s="31">
        <v>14.01</v>
      </c>
      <c r="Q49" s="7" t="e">
        <f t="shared" si="9"/>
        <v>#DIV/0!</v>
      </c>
      <c r="R49" s="7">
        <f t="shared" si="10"/>
        <v>11578.872234118488</v>
      </c>
      <c r="S49" s="36">
        <f t="shared" si="11"/>
        <v>0.26581433044349145</v>
      </c>
      <c r="T49" s="31">
        <v>0</v>
      </c>
      <c r="U49" t="s">
        <v>241</v>
      </c>
      <c r="W49" t="s">
        <v>28</v>
      </c>
    </row>
    <row r="50" spans="1:24" x14ac:dyDescent="0.25">
      <c r="A50" t="s">
        <v>242</v>
      </c>
      <c r="B50" t="s">
        <v>243</v>
      </c>
      <c r="C50" s="17">
        <v>45393</v>
      </c>
      <c r="D50" s="7">
        <v>160000</v>
      </c>
      <c r="E50" t="s">
        <v>46</v>
      </c>
      <c r="F50" t="s">
        <v>26</v>
      </c>
      <c r="G50" s="7">
        <v>160000</v>
      </c>
      <c r="H50" s="7">
        <v>57900</v>
      </c>
      <c r="I50" s="12">
        <f t="shared" si="8"/>
        <v>36.1875</v>
      </c>
      <c r="J50" s="7">
        <v>114862</v>
      </c>
      <c r="K50" s="7">
        <f>G50-98669</f>
        <v>61331</v>
      </c>
      <c r="L50" s="7">
        <v>16193</v>
      </c>
      <c r="M50" s="22">
        <v>0</v>
      </c>
      <c r="N50" s="26">
        <v>0</v>
      </c>
      <c r="O50" s="31">
        <v>0.74</v>
      </c>
      <c r="P50" s="31">
        <v>0.74</v>
      </c>
      <c r="Q50" s="7" t="e">
        <f t="shared" si="9"/>
        <v>#DIV/0!</v>
      </c>
      <c r="R50" s="7">
        <f t="shared" si="10"/>
        <v>82879.729729729734</v>
      </c>
      <c r="S50" s="36">
        <f t="shared" si="11"/>
        <v>1.9026567890204256</v>
      </c>
      <c r="T50" s="31">
        <v>0</v>
      </c>
      <c r="U50" t="s">
        <v>244</v>
      </c>
      <c r="W50" t="s">
        <v>28</v>
      </c>
    </row>
    <row r="51" spans="1:24" x14ac:dyDescent="0.25">
      <c r="A51" t="s">
        <v>245</v>
      </c>
      <c r="B51" t="s">
        <v>246</v>
      </c>
      <c r="C51" s="17">
        <v>45457</v>
      </c>
      <c r="D51" s="7">
        <v>12000</v>
      </c>
      <c r="E51" t="s">
        <v>25</v>
      </c>
      <c r="F51" t="s">
        <v>26</v>
      </c>
      <c r="G51" s="7">
        <v>12000</v>
      </c>
      <c r="H51" s="7">
        <v>19300</v>
      </c>
      <c r="I51" s="12">
        <f t="shared" si="8"/>
        <v>160.83333333333334</v>
      </c>
      <c r="J51" s="7">
        <v>19424</v>
      </c>
      <c r="K51" s="7">
        <f>G51-7345</f>
        <v>4655</v>
      </c>
      <c r="L51" s="7">
        <v>12079</v>
      </c>
      <c r="M51" s="22">
        <v>0</v>
      </c>
      <c r="N51" s="26">
        <v>0</v>
      </c>
      <c r="O51" s="31">
        <v>0.46</v>
      </c>
      <c r="P51" s="31">
        <v>0.46</v>
      </c>
      <c r="Q51" s="7" t="e">
        <f t="shared" si="9"/>
        <v>#DIV/0!</v>
      </c>
      <c r="R51" s="7">
        <f t="shared" si="10"/>
        <v>10119.565217391304</v>
      </c>
      <c r="S51" s="36">
        <f t="shared" si="11"/>
        <v>0.23231325108795464</v>
      </c>
      <c r="T51" s="31">
        <v>0</v>
      </c>
      <c r="U51" t="s">
        <v>247</v>
      </c>
      <c r="W51" t="s">
        <v>28</v>
      </c>
    </row>
    <row r="52" spans="1:24" x14ac:dyDescent="0.25">
      <c r="A52" t="s">
        <v>251</v>
      </c>
      <c r="B52" t="s">
        <v>252</v>
      </c>
      <c r="C52" s="17">
        <v>45289</v>
      </c>
      <c r="D52" s="7">
        <v>135938</v>
      </c>
      <c r="E52" t="s">
        <v>131</v>
      </c>
      <c r="F52" t="s">
        <v>110</v>
      </c>
      <c r="G52" s="7">
        <v>135938</v>
      </c>
      <c r="H52" s="7">
        <v>64000</v>
      </c>
      <c r="I52" s="12">
        <f t="shared" si="8"/>
        <v>47.080286601244687</v>
      </c>
      <c r="J52" s="7">
        <v>144226</v>
      </c>
      <c r="K52" s="7">
        <f>G52-130002</f>
        <v>5936</v>
      </c>
      <c r="L52" s="7">
        <v>14224</v>
      </c>
      <c r="M52" s="22">
        <v>0</v>
      </c>
      <c r="N52" s="26">
        <v>0</v>
      </c>
      <c r="O52" s="31">
        <v>0.65</v>
      </c>
      <c r="P52" s="31">
        <v>0.65</v>
      </c>
      <c r="Q52" s="7" t="e">
        <f t="shared" si="9"/>
        <v>#DIV/0!</v>
      </c>
      <c r="R52" s="7">
        <f t="shared" si="10"/>
        <v>9132.3076923076915</v>
      </c>
      <c r="S52" s="36">
        <f t="shared" si="11"/>
        <v>0.20964893692166417</v>
      </c>
      <c r="T52" s="31">
        <v>0</v>
      </c>
      <c r="U52" t="s">
        <v>253</v>
      </c>
      <c r="W52" t="s">
        <v>28</v>
      </c>
    </row>
    <row r="53" spans="1:24" x14ac:dyDescent="0.25">
      <c r="A53" t="s">
        <v>254</v>
      </c>
      <c r="B53" t="s">
        <v>255</v>
      </c>
      <c r="C53" s="17">
        <v>45516</v>
      </c>
      <c r="D53" s="7">
        <v>95000</v>
      </c>
      <c r="E53" t="s">
        <v>46</v>
      </c>
      <c r="F53" t="s">
        <v>223</v>
      </c>
      <c r="G53" s="7">
        <v>95000</v>
      </c>
      <c r="H53" s="7">
        <v>9800</v>
      </c>
      <c r="I53" s="12">
        <f t="shared" si="8"/>
        <v>10.315789473684211</v>
      </c>
      <c r="J53" s="7">
        <v>17506</v>
      </c>
      <c r="K53" s="7">
        <f>G53-0</f>
        <v>95000</v>
      </c>
      <c r="L53" s="7">
        <v>17506</v>
      </c>
      <c r="M53" s="22">
        <v>0</v>
      </c>
      <c r="N53" s="26">
        <v>0</v>
      </c>
      <c r="O53" s="31">
        <v>1</v>
      </c>
      <c r="P53" s="31">
        <v>1</v>
      </c>
      <c r="Q53" s="7" t="e">
        <f t="shared" si="9"/>
        <v>#DIV/0!</v>
      </c>
      <c r="R53" s="7">
        <f t="shared" si="10"/>
        <v>95000</v>
      </c>
      <c r="S53" s="36">
        <f t="shared" si="11"/>
        <v>2.1808999081726355</v>
      </c>
      <c r="T53" s="31">
        <v>0</v>
      </c>
      <c r="U53" t="s">
        <v>256</v>
      </c>
      <c r="W53" t="s">
        <v>28</v>
      </c>
    </row>
    <row r="54" spans="1:24" x14ac:dyDescent="0.25">
      <c r="A54" t="s">
        <v>267</v>
      </c>
      <c r="B54" t="s">
        <v>268</v>
      </c>
      <c r="C54" s="17">
        <v>45321</v>
      </c>
      <c r="D54" s="7">
        <v>589000</v>
      </c>
      <c r="E54" t="s">
        <v>25</v>
      </c>
      <c r="F54" t="s">
        <v>26</v>
      </c>
      <c r="G54" s="7">
        <v>589000</v>
      </c>
      <c r="H54" s="7">
        <v>229300</v>
      </c>
      <c r="I54" s="12">
        <f t="shared" si="8"/>
        <v>38.930390492359933</v>
      </c>
      <c r="J54" s="7">
        <v>498542</v>
      </c>
      <c r="K54" s="7">
        <f>G54-477499</f>
        <v>111501</v>
      </c>
      <c r="L54" s="7">
        <v>21043</v>
      </c>
      <c r="M54" s="22">
        <v>0</v>
      </c>
      <c r="N54" s="26">
        <v>0</v>
      </c>
      <c r="O54" s="31">
        <v>2.4700000000000002</v>
      </c>
      <c r="P54" s="31">
        <v>2.4700000000000002</v>
      </c>
      <c r="Q54" s="7" t="e">
        <f t="shared" si="9"/>
        <v>#DIV/0!</v>
      </c>
      <c r="R54" s="7">
        <f t="shared" si="10"/>
        <v>45142.105263157893</v>
      </c>
      <c r="S54" s="36">
        <f t="shared" si="11"/>
        <v>1.0363201391909524</v>
      </c>
      <c r="T54" s="31">
        <v>0</v>
      </c>
      <c r="U54" t="s">
        <v>269</v>
      </c>
      <c r="W54" t="s">
        <v>28</v>
      </c>
    </row>
    <row r="55" spans="1:24" x14ac:dyDescent="0.25">
      <c r="A55" t="s">
        <v>288</v>
      </c>
      <c r="B55" t="s">
        <v>289</v>
      </c>
      <c r="C55" s="17">
        <v>45373</v>
      </c>
      <c r="D55" s="7">
        <v>109500</v>
      </c>
      <c r="E55" t="s">
        <v>25</v>
      </c>
      <c r="F55" t="s">
        <v>26</v>
      </c>
      <c r="G55" s="7">
        <v>109500</v>
      </c>
      <c r="H55" s="7">
        <v>50500</v>
      </c>
      <c r="I55" s="12">
        <f t="shared" si="8"/>
        <v>46.118721461187214</v>
      </c>
      <c r="J55" s="7">
        <v>112276</v>
      </c>
      <c r="K55" s="7">
        <f>G55-93477</f>
        <v>16023</v>
      </c>
      <c r="L55" s="7">
        <v>18799</v>
      </c>
      <c r="M55" s="22">
        <v>0</v>
      </c>
      <c r="N55" s="26">
        <v>0</v>
      </c>
      <c r="O55" s="31">
        <v>1.61</v>
      </c>
      <c r="P55" s="31">
        <v>1.61</v>
      </c>
      <c r="Q55" s="7" t="e">
        <f t="shared" si="9"/>
        <v>#DIV/0!</v>
      </c>
      <c r="R55" s="7">
        <f t="shared" si="10"/>
        <v>9952.173913043478</v>
      </c>
      <c r="S55" s="36">
        <f t="shared" si="11"/>
        <v>0.22847047550604863</v>
      </c>
      <c r="T55" s="31">
        <v>0</v>
      </c>
      <c r="U55" t="s">
        <v>291</v>
      </c>
      <c r="W55" t="s">
        <v>28</v>
      </c>
    </row>
    <row r="56" spans="1:24" x14ac:dyDescent="0.25">
      <c r="A56" t="s">
        <v>295</v>
      </c>
      <c r="B56" t="s">
        <v>296</v>
      </c>
      <c r="C56" s="17">
        <v>45504</v>
      </c>
      <c r="D56" s="7">
        <v>173000</v>
      </c>
      <c r="E56" t="s">
        <v>25</v>
      </c>
      <c r="F56" t="s">
        <v>26</v>
      </c>
      <c r="G56" s="7">
        <v>173000</v>
      </c>
      <c r="H56" s="7">
        <v>61600</v>
      </c>
      <c r="I56" s="12">
        <f t="shared" si="8"/>
        <v>35.606936416184972</v>
      </c>
      <c r="J56" s="7">
        <v>124173</v>
      </c>
      <c r="K56" s="7">
        <f>G56-109074</f>
        <v>63926</v>
      </c>
      <c r="L56" s="7">
        <v>15099</v>
      </c>
      <c r="M56" s="22">
        <v>0</v>
      </c>
      <c r="N56" s="26">
        <v>0</v>
      </c>
      <c r="O56" s="31">
        <v>0.69</v>
      </c>
      <c r="P56" s="31">
        <v>0.69</v>
      </c>
      <c r="Q56" s="7" t="e">
        <f t="shared" si="9"/>
        <v>#DIV/0!</v>
      </c>
      <c r="R56" s="7">
        <f t="shared" si="10"/>
        <v>92646.376811594208</v>
      </c>
      <c r="S56" s="36">
        <f t="shared" si="11"/>
        <v>2.126868154536139</v>
      </c>
      <c r="T56" s="31">
        <v>0</v>
      </c>
      <c r="U56" t="s">
        <v>298</v>
      </c>
      <c r="W56" t="s">
        <v>28</v>
      </c>
    </row>
    <row r="57" spans="1:24" x14ac:dyDescent="0.25">
      <c r="A57" t="s">
        <v>299</v>
      </c>
      <c r="B57" t="s">
        <v>56</v>
      </c>
      <c r="C57" s="17">
        <v>45051</v>
      </c>
      <c r="D57" s="7">
        <v>47000</v>
      </c>
      <c r="E57" t="s">
        <v>266</v>
      </c>
      <c r="F57" t="s">
        <v>26</v>
      </c>
      <c r="G57" s="7">
        <v>47000</v>
      </c>
      <c r="H57" s="7">
        <v>18300</v>
      </c>
      <c r="I57" s="12">
        <f t="shared" si="8"/>
        <v>38.936170212765958</v>
      </c>
      <c r="J57" s="7">
        <v>34894</v>
      </c>
      <c r="K57" s="7">
        <f>G57-0</f>
        <v>47000</v>
      </c>
      <c r="L57" s="7">
        <v>34894</v>
      </c>
      <c r="M57" s="22">
        <v>0</v>
      </c>
      <c r="N57" s="26">
        <v>0</v>
      </c>
      <c r="O57" s="31">
        <v>7.59</v>
      </c>
      <c r="P57" s="31">
        <v>7.59</v>
      </c>
      <c r="Q57" s="7" t="e">
        <f t="shared" si="9"/>
        <v>#DIV/0!</v>
      </c>
      <c r="R57" s="7">
        <f t="shared" si="10"/>
        <v>6192.35836627141</v>
      </c>
      <c r="S57" s="36">
        <f t="shared" si="11"/>
        <v>0.14215698728814072</v>
      </c>
      <c r="T57" s="31">
        <v>0</v>
      </c>
      <c r="W57" t="s">
        <v>28</v>
      </c>
    </row>
    <row r="58" spans="1:24" x14ac:dyDescent="0.25">
      <c r="A58" t="s">
        <v>300</v>
      </c>
      <c r="B58" t="s">
        <v>301</v>
      </c>
      <c r="C58" s="17">
        <v>45551</v>
      </c>
      <c r="D58" s="7">
        <v>185000</v>
      </c>
      <c r="E58" t="s">
        <v>25</v>
      </c>
      <c r="F58" t="s">
        <v>26</v>
      </c>
      <c r="G58" s="7">
        <v>185000</v>
      </c>
      <c r="H58" s="7">
        <v>70600</v>
      </c>
      <c r="I58" s="12">
        <f t="shared" si="8"/>
        <v>38.162162162162161</v>
      </c>
      <c r="J58" s="7">
        <v>140326</v>
      </c>
      <c r="K58" s="7">
        <f>G58-108146</f>
        <v>76854</v>
      </c>
      <c r="L58" s="7">
        <v>32180</v>
      </c>
      <c r="M58" s="22">
        <v>0</v>
      </c>
      <c r="N58" s="26">
        <v>0</v>
      </c>
      <c r="O58" s="31">
        <v>6.58</v>
      </c>
      <c r="P58" s="31">
        <v>6.58</v>
      </c>
      <c r="Q58" s="7" t="e">
        <f t="shared" si="9"/>
        <v>#DIV/0!</v>
      </c>
      <c r="R58" s="7">
        <f t="shared" si="10"/>
        <v>11679.939209726444</v>
      </c>
      <c r="S58" s="36">
        <f t="shared" si="11"/>
        <v>0.26813450894688806</v>
      </c>
      <c r="T58" s="31">
        <v>0</v>
      </c>
      <c r="U58" t="s">
        <v>302</v>
      </c>
      <c r="W58" t="s">
        <v>28</v>
      </c>
    </row>
    <row r="59" spans="1:24" x14ac:dyDescent="0.25">
      <c r="A59" t="s">
        <v>303</v>
      </c>
      <c r="B59" t="s">
        <v>304</v>
      </c>
      <c r="C59" s="17">
        <v>45118</v>
      </c>
      <c r="D59" s="7">
        <v>339000</v>
      </c>
      <c r="E59" t="s">
        <v>25</v>
      </c>
      <c r="F59" t="s">
        <v>26</v>
      </c>
      <c r="G59" s="7">
        <v>339000</v>
      </c>
      <c r="H59" s="7">
        <v>136500</v>
      </c>
      <c r="I59" s="12">
        <f t="shared" si="8"/>
        <v>40.26548672566372</v>
      </c>
      <c r="J59" s="7">
        <v>303417</v>
      </c>
      <c r="K59" s="7">
        <f>G59-265974</f>
        <v>73026</v>
      </c>
      <c r="L59" s="7">
        <v>37443</v>
      </c>
      <c r="M59" s="22">
        <v>164</v>
      </c>
      <c r="N59" s="26">
        <v>2662</v>
      </c>
      <c r="O59" s="31">
        <v>9.9499999999999993</v>
      </c>
      <c r="P59" s="31">
        <v>9.9499999999999993</v>
      </c>
      <c r="Q59" s="7">
        <f t="shared" si="9"/>
        <v>445.28048780487802</v>
      </c>
      <c r="R59" s="7">
        <f t="shared" si="10"/>
        <v>7339.2964824120609</v>
      </c>
      <c r="S59" s="36">
        <f t="shared" si="11"/>
        <v>0.16848706341625483</v>
      </c>
      <c r="T59" s="31">
        <v>164</v>
      </c>
      <c r="U59" t="s">
        <v>305</v>
      </c>
      <c r="W59" t="s">
        <v>28</v>
      </c>
    </row>
    <row r="60" spans="1:24" x14ac:dyDescent="0.25">
      <c r="A60" t="s">
        <v>309</v>
      </c>
      <c r="B60" t="s">
        <v>310</v>
      </c>
      <c r="C60" s="17">
        <v>45372</v>
      </c>
      <c r="D60" s="7">
        <v>142200</v>
      </c>
      <c r="E60" t="s">
        <v>25</v>
      </c>
      <c r="F60" t="s">
        <v>26</v>
      </c>
      <c r="G60" s="7">
        <v>142200</v>
      </c>
      <c r="H60" s="7">
        <v>67500</v>
      </c>
      <c r="I60" s="12">
        <f t="shared" si="8"/>
        <v>47.468354430379748</v>
      </c>
      <c r="J60" s="7">
        <v>151870</v>
      </c>
      <c r="K60" s="7">
        <f>G60-134364</f>
        <v>7836</v>
      </c>
      <c r="L60" s="7">
        <v>17506</v>
      </c>
      <c r="M60" s="22">
        <v>0</v>
      </c>
      <c r="N60" s="26">
        <v>0</v>
      </c>
      <c r="O60" s="31">
        <v>1</v>
      </c>
      <c r="P60" s="31">
        <v>1</v>
      </c>
      <c r="Q60" s="7" t="e">
        <f t="shared" si="9"/>
        <v>#DIV/0!</v>
      </c>
      <c r="R60" s="7">
        <f t="shared" si="10"/>
        <v>7836</v>
      </c>
      <c r="S60" s="36">
        <f t="shared" si="11"/>
        <v>0.17988980716253444</v>
      </c>
      <c r="T60" s="31">
        <v>0</v>
      </c>
      <c r="U60" t="s">
        <v>311</v>
      </c>
      <c r="W60" t="s">
        <v>28</v>
      </c>
    </row>
    <row r="61" spans="1:24" x14ac:dyDescent="0.25">
      <c r="A61" t="s">
        <v>425</v>
      </c>
      <c r="B61" t="s">
        <v>321</v>
      </c>
      <c r="C61" s="17">
        <v>45485</v>
      </c>
      <c r="D61" s="7">
        <v>33500</v>
      </c>
      <c r="E61" t="s">
        <v>25</v>
      </c>
      <c r="F61" t="s">
        <v>26</v>
      </c>
      <c r="G61" s="7">
        <v>33500</v>
      </c>
      <c r="H61" s="7">
        <v>14300</v>
      </c>
      <c r="I61" s="12">
        <f t="shared" si="8"/>
        <v>42.68656716417911</v>
      </c>
      <c r="K61" s="7">
        <v>33500</v>
      </c>
      <c r="O61" s="31">
        <v>5.4</v>
      </c>
      <c r="P61" s="41">
        <v>5.4</v>
      </c>
      <c r="R61" s="7">
        <v>6204</v>
      </c>
      <c r="U61" t="s">
        <v>329</v>
      </c>
      <c r="X61" t="s">
        <v>339</v>
      </c>
    </row>
    <row r="62" spans="1:24" x14ac:dyDescent="0.25">
      <c r="A62" t="s">
        <v>426</v>
      </c>
      <c r="B62" t="s">
        <v>322</v>
      </c>
      <c r="C62" s="17">
        <v>45649</v>
      </c>
      <c r="D62" s="7">
        <v>220000</v>
      </c>
      <c r="E62" t="s">
        <v>25</v>
      </c>
      <c r="F62" t="s">
        <v>26</v>
      </c>
      <c r="G62" s="7">
        <v>220000</v>
      </c>
      <c r="H62" s="7">
        <v>75300</v>
      </c>
      <c r="I62" s="12">
        <f t="shared" si="8"/>
        <v>34.227272727272727</v>
      </c>
      <c r="K62" s="7">
        <v>220000</v>
      </c>
      <c r="O62" s="31">
        <v>9.81</v>
      </c>
      <c r="P62" s="41">
        <v>10.039999999999999</v>
      </c>
      <c r="R62" s="7">
        <v>22426</v>
      </c>
      <c r="U62" t="s">
        <v>330</v>
      </c>
      <c r="X62" t="s">
        <v>340</v>
      </c>
    </row>
    <row r="63" spans="1:24" x14ac:dyDescent="0.25">
      <c r="A63" t="s">
        <v>427</v>
      </c>
      <c r="B63" t="s">
        <v>323</v>
      </c>
      <c r="C63" s="17">
        <v>45694</v>
      </c>
      <c r="D63" s="7">
        <v>73000</v>
      </c>
      <c r="E63" t="s">
        <v>25</v>
      </c>
      <c r="F63" t="s">
        <v>26</v>
      </c>
      <c r="G63" s="7">
        <v>73000</v>
      </c>
      <c r="H63" s="7">
        <v>20200</v>
      </c>
      <c r="I63" s="12">
        <f t="shared" si="8"/>
        <v>27.671232876712327</v>
      </c>
      <c r="K63" s="7">
        <v>73000</v>
      </c>
      <c r="O63" s="31">
        <v>9.9</v>
      </c>
      <c r="P63" s="41">
        <v>10.4</v>
      </c>
      <c r="R63" s="7">
        <v>7371</v>
      </c>
      <c r="U63" t="s">
        <v>331</v>
      </c>
      <c r="X63" t="s">
        <v>341</v>
      </c>
    </row>
    <row r="64" spans="1:24" x14ac:dyDescent="0.25">
      <c r="A64" t="s">
        <v>428</v>
      </c>
      <c r="B64" t="s">
        <v>324</v>
      </c>
      <c r="C64" s="17">
        <v>45546</v>
      </c>
      <c r="D64" s="7">
        <v>58000</v>
      </c>
      <c r="E64" t="s">
        <v>25</v>
      </c>
      <c r="F64" t="s">
        <v>26</v>
      </c>
      <c r="G64" s="7">
        <v>58000</v>
      </c>
      <c r="H64" s="7">
        <v>13800</v>
      </c>
      <c r="I64" s="12">
        <f t="shared" si="8"/>
        <v>23.793103448275861</v>
      </c>
      <c r="K64" s="7">
        <v>58000</v>
      </c>
      <c r="O64" s="31">
        <v>4.75</v>
      </c>
      <c r="P64" s="41">
        <v>5</v>
      </c>
      <c r="R64" s="7">
        <v>12211</v>
      </c>
      <c r="U64" t="s">
        <v>332</v>
      </c>
      <c r="X64" t="s">
        <v>342</v>
      </c>
    </row>
    <row r="65" spans="1:24" x14ac:dyDescent="0.25">
      <c r="A65" t="s">
        <v>429</v>
      </c>
      <c r="B65" t="s">
        <v>325</v>
      </c>
      <c r="C65" s="17">
        <v>45488</v>
      </c>
      <c r="D65" s="7">
        <v>26000</v>
      </c>
      <c r="E65" t="s">
        <v>25</v>
      </c>
      <c r="F65" t="s">
        <v>26</v>
      </c>
      <c r="G65" s="7">
        <v>26000</v>
      </c>
      <c r="H65" s="7">
        <v>8600</v>
      </c>
      <c r="I65" s="12">
        <f t="shared" si="8"/>
        <v>33.076923076923073</v>
      </c>
      <c r="K65" s="7">
        <v>26000</v>
      </c>
      <c r="O65" s="31">
        <v>1.77</v>
      </c>
      <c r="P65" s="41">
        <v>2.35</v>
      </c>
      <c r="R65" s="7">
        <v>14706</v>
      </c>
      <c r="U65" t="s">
        <v>333</v>
      </c>
      <c r="X65" t="s">
        <v>343</v>
      </c>
    </row>
    <row r="66" spans="1:24" x14ac:dyDescent="0.25">
      <c r="A66" t="s">
        <v>432</v>
      </c>
      <c r="B66" t="s">
        <v>328</v>
      </c>
      <c r="C66" s="17">
        <v>45394</v>
      </c>
      <c r="D66" s="7">
        <v>28000</v>
      </c>
      <c r="E66" t="s">
        <v>25</v>
      </c>
      <c r="F66" t="s">
        <v>26</v>
      </c>
      <c r="G66" s="7">
        <v>28000</v>
      </c>
      <c r="H66" s="7">
        <v>16000</v>
      </c>
      <c r="I66" s="12">
        <f t="shared" si="8"/>
        <v>57.142857142857139</v>
      </c>
      <c r="K66" s="7">
        <v>28000</v>
      </c>
      <c r="O66" s="31">
        <v>4.04</v>
      </c>
      <c r="P66" s="41">
        <v>4.04</v>
      </c>
      <c r="R66" s="7">
        <v>6931</v>
      </c>
      <c r="U66" t="s">
        <v>336</v>
      </c>
      <c r="V66" t="s">
        <v>338</v>
      </c>
      <c r="X66" t="s">
        <v>346</v>
      </c>
    </row>
    <row r="67" spans="1:24" x14ac:dyDescent="0.25">
      <c r="A67" t="s">
        <v>433</v>
      </c>
      <c r="B67" t="s">
        <v>328</v>
      </c>
      <c r="C67" s="17">
        <v>45582</v>
      </c>
      <c r="D67" s="7">
        <v>13999</v>
      </c>
      <c r="E67" t="s">
        <v>25</v>
      </c>
      <c r="F67" t="s">
        <v>26</v>
      </c>
      <c r="G67" s="7">
        <v>13999</v>
      </c>
      <c r="H67" s="7">
        <v>5400</v>
      </c>
      <c r="I67" s="12">
        <f t="shared" si="8"/>
        <v>38.574183870276443</v>
      </c>
      <c r="K67" s="7">
        <v>13999</v>
      </c>
      <c r="O67" s="31">
        <v>1.36</v>
      </c>
      <c r="P67" s="41">
        <v>1.36</v>
      </c>
      <c r="R67" s="7">
        <v>10293</v>
      </c>
      <c r="U67" t="s">
        <v>337</v>
      </c>
      <c r="X67" t="s">
        <v>347</v>
      </c>
    </row>
    <row r="68" spans="1:24" x14ac:dyDescent="0.25">
      <c r="A68" t="s">
        <v>434</v>
      </c>
      <c r="B68" t="s">
        <v>328</v>
      </c>
      <c r="C68" s="17">
        <v>45400</v>
      </c>
      <c r="D68" s="7">
        <v>14000</v>
      </c>
      <c r="E68" t="s">
        <v>25</v>
      </c>
      <c r="F68" t="s">
        <v>26</v>
      </c>
      <c r="G68" s="7">
        <v>14000</v>
      </c>
      <c r="H68" s="7">
        <v>7500</v>
      </c>
      <c r="I68" s="12">
        <f t="shared" si="8"/>
        <v>53.571428571428569</v>
      </c>
      <c r="K68" s="7">
        <v>14000</v>
      </c>
      <c r="O68" s="41">
        <v>1.88</v>
      </c>
      <c r="P68" s="12">
        <v>1.88</v>
      </c>
      <c r="R68" s="7">
        <v>7447</v>
      </c>
      <c r="U68" t="s">
        <v>358</v>
      </c>
      <c r="X68" t="s">
        <v>347</v>
      </c>
    </row>
    <row r="69" spans="1:24" x14ac:dyDescent="0.25">
      <c r="A69" t="s">
        <v>435</v>
      </c>
      <c r="B69" t="s">
        <v>348</v>
      </c>
      <c r="C69" s="17">
        <v>45442</v>
      </c>
      <c r="D69" s="7">
        <v>29000</v>
      </c>
      <c r="E69" t="s">
        <v>25</v>
      </c>
      <c r="F69" t="s">
        <v>26</v>
      </c>
      <c r="G69" s="7">
        <v>29000</v>
      </c>
      <c r="H69" s="7">
        <v>6000</v>
      </c>
      <c r="I69" s="12">
        <f t="shared" si="8"/>
        <v>20.689655172413794</v>
      </c>
      <c r="K69" s="7">
        <v>29000</v>
      </c>
      <c r="O69" s="41">
        <v>3.75</v>
      </c>
      <c r="P69" s="12">
        <v>3.8010000000000002</v>
      </c>
      <c r="R69" s="7">
        <v>7731</v>
      </c>
      <c r="U69" t="s">
        <v>359</v>
      </c>
      <c r="X69" t="s">
        <v>368</v>
      </c>
    </row>
    <row r="70" spans="1:24" x14ac:dyDescent="0.25">
      <c r="A70" t="s">
        <v>436</v>
      </c>
      <c r="B70" t="s">
        <v>349</v>
      </c>
      <c r="C70" s="17">
        <v>45702</v>
      </c>
      <c r="D70" s="7">
        <v>16500</v>
      </c>
      <c r="E70" t="s">
        <v>25</v>
      </c>
      <c r="F70" t="s">
        <v>26</v>
      </c>
      <c r="G70" s="7">
        <v>16500</v>
      </c>
      <c r="H70" s="7">
        <v>4000</v>
      </c>
      <c r="I70" s="12">
        <f t="shared" si="8"/>
        <v>24.242424242424242</v>
      </c>
      <c r="K70" s="7">
        <v>16500</v>
      </c>
      <c r="O70" s="41">
        <v>1.35</v>
      </c>
      <c r="P70" s="12">
        <v>1.5</v>
      </c>
      <c r="R70" s="7">
        <v>12222</v>
      </c>
      <c r="U70" t="s">
        <v>360</v>
      </c>
      <c r="X70" t="s">
        <v>369</v>
      </c>
    </row>
    <row r="71" spans="1:24" x14ac:dyDescent="0.25">
      <c r="A71" t="s">
        <v>437</v>
      </c>
      <c r="B71" t="s">
        <v>350</v>
      </c>
      <c r="C71" s="17">
        <v>45541</v>
      </c>
      <c r="D71" s="7">
        <v>90000</v>
      </c>
      <c r="E71" t="s">
        <v>25</v>
      </c>
      <c r="F71" t="s">
        <v>26</v>
      </c>
      <c r="G71" s="7">
        <v>90000</v>
      </c>
      <c r="H71" s="7">
        <v>17600</v>
      </c>
      <c r="I71" s="12">
        <f t="shared" si="8"/>
        <v>19.555555555555557</v>
      </c>
      <c r="K71" s="7">
        <v>90000</v>
      </c>
      <c r="O71" s="41">
        <v>12.94</v>
      </c>
      <c r="P71" s="12">
        <v>13.39</v>
      </c>
      <c r="R71" s="7">
        <v>6953</v>
      </c>
      <c r="U71" t="s">
        <v>361</v>
      </c>
      <c r="X71" t="s">
        <v>370</v>
      </c>
    </row>
    <row r="72" spans="1:24" x14ac:dyDescent="0.25">
      <c r="A72" t="s">
        <v>439</v>
      </c>
      <c r="B72" t="s">
        <v>352</v>
      </c>
      <c r="C72" s="17">
        <v>45455</v>
      </c>
      <c r="D72" s="7">
        <v>70000</v>
      </c>
      <c r="E72" t="s">
        <v>25</v>
      </c>
      <c r="F72" t="s">
        <v>26</v>
      </c>
      <c r="G72" s="7">
        <v>70000</v>
      </c>
      <c r="H72" s="7" t="s">
        <v>356</v>
      </c>
      <c r="I72" s="12" t="s">
        <v>357</v>
      </c>
      <c r="K72" s="7">
        <v>70000</v>
      </c>
      <c r="O72" s="41">
        <v>9.59</v>
      </c>
      <c r="P72" s="12">
        <v>9.84</v>
      </c>
      <c r="R72" s="7">
        <v>7298</v>
      </c>
      <c r="U72" t="s">
        <v>363</v>
      </c>
      <c r="X72" t="s">
        <v>372</v>
      </c>
    </row>
    <row r="73" spans="1:24" x14ac:dyDescent="0.25">
      <c r="A73" t="s">
        <v>440</v>
      </c>
      <c r="B73" t="s">
        <v>352</v>
      </c>
      <c r="C73" s="17">
        <v>45630</v>
      </c>
      <c r="D73" s="7">
        <v>70000</v>
      </c>
      <c r="E73" t="s">
        <v>25</v>
      </c>
      <c r="F73" t="s">
        <v>26</v>
      </c>
      <c r="G73" s="7">
        <v>70000</v>
      </c>
      <c r="H73" s="7" t="s">
        <v>356</v>
      </c>
      <c r="I73" s="12" t="s">
        <v>357</v>
      </c>
      <c r="K73" s="7">
        <v>70000</v>
      </c>
      <c r="O73" s="41">
        <v>9.84</v>
      </c>
      <c r="P73" s="12">
        <v>9.84</v>
      </c>
      <c r="R73" s="7">
        <v>7114</v>
      </c>
      <c r="U73" t="s">
        <v>364</v>
      </c>
      <c r="X73" t="s">
        <v>373</v>
      </c>
    </row>
    <row r="74" spans="1:24" x14ac:dyDescent="0.25">
      <c r="A74" t="s">
        <v>441</v>
      </c>
      <c r="B74" t="s">
        <v>353</v>
      </c>
      <c r="C74" s="17">
        <v>45513</v>
      </c>
      <c r="D74" s="7">
        <v>85000</v>
      </c>
      <c r="E74" t="s">
        <v>25</v>
      </c>
      <c r="F74" t="s">
        <v>26</v>
      </c>
      <c r="G74" s="7">
        <v>85000</v>
      </c>
      <c r="H74" s="7">
        <v>33000</v>
      </c>
      <c r="I74" s="12">
        <f t="shared" si="8"/>
        <v>38.82352941176471</v>
      </c>
      <c r="K74" s="7">
        <v>85000</v>
      </c>
      <c r="O74" s="41">
        <v>8.9</v>
      </c>
      <c r="P74" s="12">
        <v>13.49</v>
      </c>
      <c r="R74" s="7">
        <v>9546</v>
      </c>
      <c r="U74" t="s">
        <v>365</v>
      </c>
      <c r="X74" t="s">
        <v>374</v>
      </c>
    </row>
    <row r="75" spans="1:24" x14ac:dyDescent="0.25">
      <c r="A75" t="s">
        <v>443</v>
      </c>
      <c r="B75" t="s">
        <v>355</v>
      </c>
      <c r="C75" s="17">
        <v>45644</v>
      </c>
      <c r="D75" s="7">
        <v>20000</v>
      </c>
      <c r="E75" t="s">
        <v>25</v>
      </c>
      <c r="F75" t="s">
        <v>26</v>
      </c>
      <c r="G75" s="7">
        <v>20000</v>
      </c>
      <c r="H75" s="7">
        <v>8700</v>
      </c>
      <c r="I75" s="12">
        <f t="shared" si="8"/>
        <v>43.5</v>
      </c>
      <c r="K75" s="7">
        <v>20000</v>
      </c>
      <c r="O75" s="41">
        <v>2.0099999999999998</v>
      </c>
      <c r="P75" s="12">
        <v>2.48</v>
      </c>
      <c r="R75" s="7">
        <v>9965</v>
      </c>
      <c r="U75" t="s">
        <v>367</v>
      </c>
      <c r="X75" t="s">
        <v>376</v>
      </c>
    </row>
    <row r="76" spans="1:24" x14ac:dyDescent="0.25">
      <c r="A76" t="s">
        <v>444</v>
      </c>
      <c r="B76" t="s">
        <v>377</v>
      </c>
      <c r="C76" s="17">
        <v>45713</v>
      </c>
      <c r="D76" s="7">
        <v>55000</v>
      </c>
      <c r="E76" t="s">
        <v>25</v>
      </c>
      <c r="F76" t="s">
        <v>386</v>
      </c>
      <c r="G76" s="7">
        <v>55000</v>
      </c>
      <c r="H76" s="7">
        <v>15600</v>
      </c>
      <c r="I76" s="12">
        <f t="shared" si="8"/>
        <v>28.363636363636363</v>
      </c>
      <c r="K76" s="7">
        <v>55000</v>
      </c>
      <c r="O76" s="31">
        <v>6.3136363636363635</v>
      </c>
      <c r="P76" s="31">
        <v>6.5</v>
      </c>
      <c r="R76" s="7">
        <v>8711.3030957523406</v>
      </c>
      <c r="U76" t="s">
        <v>387</v>
      </c>
      <c r="X76" t="s">
        <v>394</v>
      </c>
    </row>
    <row r="77" spans="1:24" x14ac:dyDescent="0.25">
      <c r="A77" t="s">
        <v>445</v>
      </c>
      <c r="B77" t="s">
        <v>378</v>
      </c>
      <c r="C77" s="17">
        <v>45659</v>
      </c>
      <c r="D77" s="7">
        <v>126250</v>
      </c>
      <c r="E77" t="s">
        <v>25</v>
      </c>
      <c r="F77" t="s">
        <v>386</v>
      </c>
      <c r="G77" s="7">
        <v>126250</v>
      </c>
      <c r="H77" s="7">
        <v>30600</v>
      </c>
      <c r="I77" s="12">
        <f t="shared" si="8"/>
        <v>24.237623762376238</v>
      </c>
      <c r="K77" s="7">
        <v>126250</v>
      </c>
      <c r="O77" s="31">
        <v>11.848484848484848</v>
      </c>
      <c r="P77" s="31">
        <v>12</v>
      </c>
      <c r="R77" s="7">
        <v>10655.370843989771</v>
      </c>
      <c r="U77" t="s">
        <v>388</v>
      </c>
      <c r="X77" t="s">
        <v>395</v>
      </c>
    </row>
    <row r="78" spans="1:24" x14ac:dyDescent="0.25">
      <c r="A78" t="s">
        <v>446</v>
      </c>
      <c r="B78" t="s">
        <v>379</v>
      </c>
      <c r="C78" s="17">
        <v>45555</v>
      </c>
      <c r="D78" s="7">
        <v>39900</v>
      </c>
      <c r="E78" t="s">
        <v>25</v>
      </c>
      <c r="F78" t="s">
        <v>386</v>
      </c>
      <c r="G78" s="7">
        <v>39900</v>
      </c>
      <c r="H78" s="7">
        <v>12300</v>
      </c>
      <c r="I78" s="12">
        <f t="shared" si="8"/>
        <v>30.82706766917293</v>
      </c>
      <c r="K78" s="7">
        <v>29900</v>
      </c>
      <c r="O78" s="31">
        <v>3.02</v>
      </c>
      <c r="P78" s="31">
        <v>3.02</v>
      </c>
      <c r="R78" s="7">
        <v>13211.920529801324</v>
      </c>
      <c r="U78" t="s">
        <v>389</v>
      </c>
    </row>
    <row r="79" spans="1:24" x14ac:dyDescent="0.25">
      <c r="A79" t="s">
        <v>447</v>
      </c>
      <c r="B79" t="s">
        <v>380</v>
      </c>
      <c r="C79" s="17">
        <v>45645</v>
      </c>
      <c r="D79" s="7">
        <v>125000</v>
      </c>
      <c r="E79" t="s">
        <v>25</v>
      </c>
      <c r="F79" t="s">
        <v>385</v>
      </c>
      <c r="G79" s="7">
        <v>125000</v>
      </c>
      <c r="H79" s="7">
        <v>56600</v>
      </c>
      <c r="I79" s="12">
        <f t="shared" si="8"/>
        <v>45.28</v>
      </c>
      <c r="K79" s="7">
        <v>125000</v>
      </c>
      <c r="O79" s="31">
        <v>20.21</v>
      </c>
      <c r="P79" s="31">
        <v>20.596</v>
      </c>
      <c r="R79" s="7">
        <v>6185.0569025235027</v>
      </c>
      <c r="U79" t="s">
        <v>390</v>
      </c>
      <c r="V79" t="s">
        <v>393</v>
      </c>
      <c r="X79" t="s">
        <v>396</v>
      </c>
    </row>
    <row r="80" spans="1:24" x14ac:dyDescent="0.25">
      <c r="A80" t="s">
        <v>448</v>
      </c>
      <c r="B80" t="s">
        <v>381</v>
      </c>
      <c r="C80" s="17">
        <v>45679</v>
      </c>
      <c r="D80" s="7">
        <v>45000</v>
      </c>
      <c r="E80" t="s">
        <v>25</v>
      </c>
      <c r="F80" t="s">
        <v>386</v>
      </c>
      <c r="G80" s="7">
        <v>45000</v>
      </c>
      <c r="H80" s="7">
        <v>26200</v>
      </c>
      <c r="I80" s="12">
        <f t="shared" si="8"/>
        <v>58.222222222222221</v>
      </c>
      <c r="K80" s="7">
        <v>45000</v>
      </c>
      <c r="O80" s="31">
        <v>3.02</v>
      </c>
      <c r="P80" s="31">
        <v>3.19</v>
      </c>
      <c r="R80" s="7">
        <v>14900.662251655629</v>
      </c>
      <c r="U80" t="s">
        <v>391</v>
      </c>
      <c r="X80" t="s">
        <v>397</v>
      </c>
    </row>
    <row r="81" spans="1:24" x14ac:dyDescent="0.25">
      <c r="A81" t="s">
        <v>450</v>
      </c>
      <c r="B81" t="s">
        <v>382</v>
      </c>
      <c r="C81" s="17">
        <v>45481</v>
      </c>
      <c r="D81" s="7">
        <v>65000</v>
      </c>
      <c r="E81" t="s">
        <v>25</v>
      </c>
      <c r="F81" t="s">
        <v>386</v>
      </c>
      <c r="G81" s="7">
        <v>65000</v>
      </c>
      <c r="H81" s="7">
        <v>41900</v>
      </c>
      <c r="I81" s="12">
        <f t="shared" ref="I81" si="12">H81/G81*100</f>
        <v>64.461538461538453</v>
      </c>
      <c r="K81" s="7">
        <v>65000</v>
      </c>
      <c r="O81" s="31">
        <v>7.79</v>
      </c>
      <c r="P81" s="31">
        <v>7.79</v>
      </c>
      <c r="R81" s="7">
        <v>8344.0308087291396</v>
      </c>
      <c r="U81" t="s">
        <v>392</v>
      </c>
      <c r="V81" t="s">
        <v>34</v>
      </c>
      <c r="X81" t="s">
        <v>398</v>
      </c>
    </row>
    <row r="82" spans="1:24" x14ac:dyDescent="0.25">
      <c r="A82" t="s">
        <v>452</v>
      </c>
      <c r="B82" t="s">
        <v>400</v>
      </c>
      <c r="C82" s="17">
        <v>45390</v>
      </c>
      <c r="D82" s="7">
        <v>10000</v>
      </c>
      <c r="E82" t="s">
        <v>25</v>
      </c>
      <c r="F82" t="s">
        <v>386</v>
      </c>
      <c r="G82" s="7">
        <v>10000</v>
      </c>
      <c r="H82" s="7">
        <v>7500</v>
      </c>
      <c r="I82" s="12">
        <v>75</v>
      </c>
      <c r="K82" s="7">
        <v>10000</v>
      </c>
      <c r="O82" s="31">
        <v>0.55000000000000004</v>
      </c>
      <c r="P82" s="31">
        <v>0.65</v>
      </c>
      <c r="R82" s="7">
        <v>18181.81818181818</v>
      </c>
      <c r="U82" t="s">
        <v>416</v>
      </c>
      <c r="X82" t="s">
        <v>408</v>
      </c>
    </row>
    <row r="83" spans="1:24" x14ac:dyDescent="0.25">
      <c r="A83" t="s">
        <v>455</v>
      </c>
      <c r="B83" t="s">
        <v>403</v>
      </c>
      <c r="C83" s="17">
        <v>45628</v>
      </c>
      <c r="D83" s="7">
        <v>197500</v>
      </c>
      <c r="E83" t="s">
        <v>25</v>
      </c>
      <c r="F83" t="s">
        <v>386</v>
      </c>
      <c r="G83" s="7">
        <v>197500</v>
      </c>
      <c r="H83" s="7">
        <v>99100</v>
      </c>
      <c r="I83" s="12">
        <v>50.177215189873415</v>
      </c>
      <c r="K83" s="7">
        <v>1975000</v>
      </c>
      <c r="O83" s="31">
        <v>36.531613636363637</v>
      </c>
      <c r="P83" s="31">
        <v>39.64</v>
      </c>
      <c r="R83" s="7">
        <v>5406.276382037724</v>
      </c>
      <c r="U83" t="s">
        <v>419</v>
      </c>
      <c r="X83" t="s">
        <v>411</v>
      </c>
    </row>
    <row r="84" spans="1:24" x14ac:dyDescent="0.25">
      <c r="A84" t="s">
        <v>456</v>
      </c>
      <c r="B84" t="s">
        <v>404</v>
      </c>
      <c r="C84" s="17">
        <v>45645</v>
      </c>
      <c r="D84" s="7">
        <v>23550</v>
      </c>
      <c r="E84" t="s">
        <v>25</v>
      </c>
      <c r="F84" t="s">
        <v>386</v>
      </c>
      <c r="G84" s="7">
        <v>23550</v>
      </c>
      <c r="H84" s="7">
        <v>16700</v>
      </c>
      <c r="I84" s="12">
        <v>70.912951167728238</v>
      </c>
      <c r="K84" s="7">
        <v>23550</v>
      </c>
      <c r="O84" s="31">
        <v>1.6559999999999999</v>
      </c>
      <c r="P84" s="31">
        <v>2.09</v>
      </c>
      <c r="R84" s="7">
        <v>14221.014492753624</v>
      </c>
      <c r="U84" t="s">
        <v>420</v>
      </c>
      <c r="X84" t="s">
        <v>412</v>
      </c>
    </row>
    <row r="85" spans="1:24" x14ac:dyDescent="0.25">
      <c r="A85" t="s">
        <v>457</v>
      </c>
      <c r="B85" t="s">
        <v>405</v>
      </c>
      <c r="C85" s="17">
        <v>45457</v>
      </c>
      <c r="D85" s="7">
        <v>39900</v>
      </c>
      <c r="E85" t="s">
        <v>25</v>
      </c>
      <c r="F85" t="s">
        <v>386</v>
      </c>
      <c r="G85" s="7">
        <v>39900</v>
      </c>
      <c r="H85" s="7">
        <v>20000</v>
      </c>
      <c r="I85" s="12">
        <v>50.125313283208015</v>
      </c>
      <c r="K85" s="7">
        <v>39900</v>
      </c>
      <c r="O85" s="31">
        <v>4.74</v>
      </c>
      <c r="P85" s="31">
        <v>4.99</v>
      </c>
      <c r="R85" s="7">
        <v>8417.7215189873423</v>
      </c>
      <c r="U85" t="s">
        <v>421</v>
      </c>
      <c r="X85" t="s">
        <v>413</v>
      </c>
    </row>
    <row r="86" spans="1:24" x14ac:dyDescent="0.25">
      <c r="A86" t="s">
        <v>458</v>
      </c>
      <c r="B86" t="s">
        <v>406</v>
      </c>
      <c r="C86" s="17">
        <v>45520</v>
      </c>
      <c r="D86" s="7">
        <v>52000</v>
      </c>
      <c r="E86" t="s">
        <v>25</v>
      </c>
      <c r="F86" t="s">
        <v>385</v>
      </c>
      <c r="G86" s="7">
        <v>52000</v>
      </c>
      <c r="H86" s="7">
        <v>27600</v>
      </c>
      <c r="I86" s="12">
        <v>53.07692307692308</v>
      </c>
      <c r="K86" s="7">
        <v>52000</v>
      </c>
      <c r="O86" s="31">
        <v>2.7275151515151514</v>
      </c>
      <c r="P86" s="31">
        <v>3.03</v>
      </c>
      <c r="R86" s="7">
        <v>19064.972002488666</v>
      </c>
      <c r="U86" t="s">
        <v>422</v>
      </c>
      <c r="V86" t="s">
        <v>423</v>
      </c>
      <c r="X86" t="s">
        <v>414</v>
      </c>
    </row>
    <row r="87" spans="1:24" x14ac:dyDescent="0.25">
      <c r="A87" t="s">
        <v>517</v>
      </c>
      <c r="B87" t="s">
        <v>459</v>
      </c>
      <c r="C87" s="17">
        <v>45358</v>
      </c>
      <c r="D87" s="7">
        <v>25000</v>
      </c>
      <c r="E87" t="s">
        <v>25</v>
      </c>
      <c r="F87" t="s">
        <v>386</v>
      </c>
      <c r="G87" s="7">
        <v>25000</v>
      </c>
      <c r="H87" s="7">
        <v>5900</v>
      </c>
      <c r="I87" s="12">
        <v>23.6</v>
      </c>
      <c r="K87" s="7">
        <v>25000</v>
      </c>
      <c r="O87" s="31">
        <v>1.75</v>
      </c>
      <c r="P87" s="31">
        <v>2</v>
      </c>
      <c r="R87" s="7">
        <v>14286</v>
      </c>
      <c r="U87" t="s">
        <v>460</v>
      </c>
      <c r="X87" t="s">
        <v>464</v>
      </c>
    </row>
    <row r="88" spans="1:24" x14ac:dyDescent="0.25">
      <c r="A88" t="s">
        <v>519</v>
      </c>
      <c r="B88" t="s">
        <v>465</v>
      </c>
      <c r="C88" s="17">
        <v>45245</v>
      </c>
      <c r="D88" s="7">
        <v>55000</v>
      </c>
      <c r="E88" t="s">
        <v>46</v>
      </c>
      <c r="F88" t="s">
        <v>386</v>
      </c>
      <c r="G88" s="7">
        <v>55000</v>
      </c>
      <c r="H88" s="7">
        <v>18500</v>
      </c>
      <c r="I88" s="12">
        <v>33.64</v>
      </c>
      <c r="K88" s="7">
        <v>55000</v>
      </c>
      <c r="O88" s="31">
        <v>10.61</v>
      </c>
      <c r="P88" s="31">
        <v>12.31</v>
      </c>
      <c r="R88" s="7">
        <v>5185</v>
      </c>
      <c r="U88" t="s">
        <v>466</v>
      </c>
      <c r="X88" t="s">
        <v>467</v>
      </c>
    </row>
    <row r="89" spans="1:24" x14ac:dyDescent="0.25">
      <c r="A89" t="s">
        <v>520</v>
      </c>
      <c r="B89" t="s">
        <v>468</v>
      </c>
      <c r="C89" s="17">
        <v>45275</v>
      </c>
      <c r="D89" s="7">
        <v>105900</v>
      </c>
      <c r="E89" t="s">
        <v>25</v>
      </c>
      <c r="F89" t="s">
        <v>386</v>
      </c>
      <c r="G89" s="7">
        <v>105900</v>
      </c>
      <c r="H89" s="7">
        <v>26400</v>
      </c>
      <c r="I89" s="12">
        <v>24.93</v>
      </c>
      <c r="K89" s="7">
        <v>105900</v>
      </c>
      <c r="O89" s="31">
        <v>17.3</v>
      </c>
      <c r="P89" s="31">
        <v>17.5</v>
      </c>
      <c r="R89" s="7">
        <v>6120</v>
      </c>
      <c r="U89" t="s">
        <v>469</v>
      </c>
      <c r="X89" t="s">
        <v>470</v>
      </c>
    </row>
    <row r="90" spans="1:24" x14ac:dyDescent="0.25">
      <c r="A90" t="s">
        <v>523</v>
      </c>
      <c r="B90" t="s">
        <v>476</v>
      </c>
      <c r="C90" s="17">
        <v>45320</v>
      </c>
      <c r="D90" s="7">
        <v>70000</v>
      </c>
      <c r="E90" t="s">
        <v>25</v>
      </c>
      <c r="F90" t="s">
        <v>386</v>
      </c>
      <c r="G90" s="7">
        <v>70000</v>
      </c>
      <c r="H90" s="7">
        <v>15000</v>
      </c>
      <c r="I90" s="12">
        <f t="shared" ref="I90:I98" si="13">H90/G90*100</f>
        <v>21.428571428571427</v>
      </c>
      <c r="K90" s="7">
        <v>70000</v>
      </c>
      <c r="O90" s="41">
        <v>8.02</v>
      </c>
      <c r="P90" s="31">
        <v>10.02</v>
      </c>
      <c r="R90" s="7">
        <v>8728.1795511221953</v>
      </c>
      <c r="U90" t="s">
        <v>478</v>
      </c>
      <c r="X90" t="s">
        <v>480</v>
      </c>
    </row>
    <row r="91" spans="1:24" x14ac:dyDescent="0.25">
      <c r="A91" t="s">
        <v>524</v>
      </c>
      <c r="B91" t="s">
        <v>477</v>
      </c>
      <c r="C91" s="17">
        <v>45175</v>
      </c>
      <c r="D91" s="7">
        <v>15900</v>
      </c>
      <c r="E91" t="s">
        <v>25</v>
      </c>
      <c r="F91" t="s">
        <v>386</v>
      </c>
      <c r="G91" s="7">
        <v>15900</v>
      </c>
      <c r="H91" s="7">
        <v>2800</v>
      </c>
      <c r="I91" s="12">
        <f t="shared" si="13"/>
        <v>17.610062893081761</v>
      </c>
      <c r="K91" s="7">
        <v>15900</v>
      </c>
      <c r="O91" s="41">
        <v>1.93</v>
      </c>
      <c r="P91" s="31">
        <v>3.07</v>
      </c>
      <c r="R91" s="7">
        <v>8238.3419689119182</v>
      </c>
      <c r="U91" t="s">
        <v>479</v>
      </c>
      <c r="X91" t="s">
        <v>481</v>
      </c>
    </row>
    <row r="92" spans="1:24" x14ac:dyDescent="0.25">
      <c r="A92" t="s">
        <v>526</v>
      </c>
      <c r="B92" t="s">
        <v>483</v>
      </c>
      <c r="C92" s="17">
        <v>45225</v>
      </c>
      <c r="D92" s="7">
        <v>30000</v>
      </c>
      <c r="E92" t="s">
        <v>25</v>
      </c>
      <c r="F92" t="s">
        <v>386</v>
      </c>
      <c r="G92" s="7">
        <v>30000</v>
      </c>
      <c r="H92" s="7">
        <v>9400</v>
      </c>
      <c r="I92" s="12">
        <f t="shared" si="13"/>
        <v>31.333333333333336</v>
      </c>
      <c r="K92" s="7">
        <v>30000</v>
      </c>
      <c r="O92" s="31">
        <v>3.4</v>
      </c>
      <c r="P92" s="12">
        <v>3.4</v>
      </c>
      <c r="R92" s="7">
        <v>8823.5294117647063</v>
      </c>
      <c r="U92" t="s">
        <v>486</v>
      </c>
      <c r="X92" t="s">
        <v>487</v>
      </c>
    </row>
    <row r="93" spans="1:24" x14ac:dyDescent="0.25">
      <c r="A93" t="s">
        <v>527</v>
      </c>
      <c r="B93" t="s">
        <v>488</v>
      </c>
      <c r="C93" s="17">
        <v>45126</v>
      </c>
      <c r="D93" s="7">
        <v>28800</v>
      </c>
      <c r="E93" t="s">
        <v>25</v>
      </c>
      <c r="F93" t="s">
        <v>386</v>
      </c>
      <c r="G93" s="7">
        <v>28800</v>
      </c>
      <c r="H93" s="7">
        <v>9300</v>
      </c>
      <c r="I93" s="12">
        <f t="shared" si="13"/>
        <v>32.291666666666671</v>
      </c>
      <c r="K93" s="7">
        <v>28800</v>
      </c>
      <c r="O93" s="31">
        <v>0.84242424242424241</v>
      </c>
      <c r="P93" s="12">
        <v>1</v>
      </c>
      <c r="R93" s="7">
        <v>34187.05035971223</v>
      </c>
      <c r="U93" t="s">
        <v>496</v>
      </c>
      <c r="X93" t="s">
        <v>506</v>
      </c>
    </row>
    <row r="94" spans="1:24" x14ac:dyDescent="0.25">
      <c r="A94" t="s">
        <v>528</v>
      </c>
      <c r="B94" t="s">
        <v>382</v>
      </c>
      <c r="C94" s="17">
        <v>45072</v>
      </c>
      <c r="D94" s="7">
        <v>18004</v>
      </c>
      <c r="E94" t="s">
        <v>25</v>
      </c>
      <c r="F94" t="s">
        <v>386</v>
      </c>
      <c r="G94" s="7">
        <v>18004</v>
      </c>
      <c r="H94" s="7">
        <v>10000</v>
      </c>
      <c r="I94" s="12">
        <f t="shared" si="13"/>
        <v>55.543212619417901</v>
      </c>
      <c r="K94" s="7">
        <v>18004</v>
      </c>
      <c r="O94" s="31">
        <v>1.9689999999999999</v>
      </c>
      <c r="P94" s="12">
        <v>2.09</v>
      </c>
      <c r="R94" s="7">
        <v>9143.727780599289</v>
      </c>
      <c r="U94" t="s">
        <v>497</v>
      </c>
      <c r="X94" t="s">
        <v>507</v>
      </c>
    </row>
    <row r="95" spans="1:24" x14ac:dyDescent="0.25">
      <c r="A95" t="s">
        <v>530</v>
      </c>
      <c r="B95" t="s">
        <v>489</v>
      </c>
      <c r="C95" s="17">
        <v>45132</v>
      </c>
      <c r="D95" s="7">
        <v>52000</v>
      </c>
      <c r="E95" t="s">
        <v>25</v>
      </c>
      <c r="F95" t="s">
        <v>386</v>
      </c>
      <c r="G95" s="7">
        <v>52000</v>
      </c>
      <c r="H95" s="7">
        <v>19000</v>
      </c>
      <c r="I95" s="12">
        <f t="shared" si="13"/>
        <v>36.538461538461533</v>
      </c>
      <c r="K95" s="7">
        <v>52000</v>
      </c>
      <c r="O95" s="31">
        <v>8.6406060606060606</v>
      </c>
      <c r="P95" s="12">
        <v>9.94</v>
      </c>
      <c r="R95" s="7">
        <v>6018.0963737111597</v>
      </c>
      <c r="U95" t="s">
        <v>499</v>
      </c>
      <c r="X95" t="s">
        <v>509</v>
      </c>
    </row>
    <row r="96" spans="1:24" x14ac:dyDescent="0.25">
      <c r="A96" t="s">
        <v>531</v>
      </c>
      <c r="B96" t="s">
        <v>490</v>
      </c>
      <c r="C96" s="17">
        <v>45079</v>
      </c>
      <c r="D96" s="7">
        <v>30500</v>
      </c>
      <c r="E96" t="s">
        <v>25</v>
      </c>
      <c r="F96" t="s">
        <v>386</v>
      </c>
      <c r="G96" s="7">
        <v>30500</v>
      </c>
      <c r="H96" s="7">
        <v>12000</v>
      </c>
      <c r="I96" s="12">
        <f t="shared" si="13"/>
        <v>39.344262295081968</v>
      </c>
      <c r="K96" s="7">
        <v>30500</v>
      </c>
      <c r="O96" s="31">
        <v>4.7675909090909085</v>
      </c>
      <c r="P96" s="12">
        <v>5.05</v>
      </c>
      <c r="R96" s="7">
        <v>6397.3609694242386</v>
      </c>
      <c r="U96" t="s">
        <v>500</v>
      </c>
      <c r="X96" t="s">
        <v>510</v>
      </c>
    </row>
    <row r="97" spans="1:24" x14ac:dyDescent="0.25">
      <c r="A97" t="s">
        <v>533</v>
      </c>
      <c r="B97" t="s">
        <v>492</v>
      </c>
      <c r="C97" s="17">
        <v>45338</v>
      </c>
      <c r="D97" s="7">
        <v>300000</v>
      </c>
      <c r="E97" t="s">
        <v>25</v>
      </c>
      <c r="F97" t="s">
        <v>495</v>
      </c>
      <c r="G97" s="7">
        <v>300000</v>
      </c>
      <c r="H97" s="7">
        <v>118800</v>
      </c>
      <c r="I97" s="12">
        <f t="shared" si="13"/>
        <v>39.6</v>
      </c>
      <c r="K97" s="7">
        <v>300000</v>
      </c>
      <c r="O97" s="31">
        <v>41.737727272727277</v>
      </c>
      <c r="P97" s="12">
        <v>50.09</v>
      </c>
      <c r="R97" s="7">
        <v>7187.741633359833</v>
      </c>
      <c r="U97" t="s">
        <v>502</v>
      </c>
      <c r="V97" t="s">
        <v>505</v>
      </c>
      <c r="X97" t="s">
        <v>512</v>
      </c>
    </row>
    <row r="98" spans="1:24" x14ac:dyDescent="0.25">
      <c r="A98" t="s">
        <v>535</v>
      </c>
      <c r="B98" t="s">
        <v>514</v>
      </c>
      <c r="C98" s="17">
        <v>45021</v>
      </c>
      <c r="D98" s="7">
        <v>13500</v>
      </c>
      <c r="E98" t="s">
        <v>25</v>
      </c>
      <c r="F98" t="s">
        <v>386</v>
      </c>
      <c r="G98" s="7">
        <v>13500</v>
      </c>
      <c r="H98" s="7">
        <v>2400</v>
      </c>
      <c r="I98" s="12">
        <f t="shared" si="13"/>
        <v>17.777777777777779</v>
      </c>
      <c r="K98" s="7">
        <v>13500</v>
      </c>
      <c r="O98" s="31">
        <v>0.96</v>
      </c>
      <c r="P98" s="12">
        <v>0.96</v>
      </c>
      <c r="R98" s="43">
        <v>14062.5</v>
      </c>
      <c r="U98" t="s">
        <v>515</v>
      </c>
      <c r="X98" t="s">
        <v>516</v>
      </c>
    </row>
    <row r="100" spans="1:24" ht="15.75" thickBot="1" x14ac:dyDescent="0.3"/>
    <row r="101" spans="1:24" ht="15.75" thickTop="1" x14ac:dyDescent="0.25">
      <c r="A101" s="3"/>
      <c r="B101" s="3"/>
      <c r="C101" s="18" t="s">
        <v>312</v>
      </c>
      <c r="D101" s="8">
        <f>+SUM(D2:D98)</f>
        <v>12683841</v>
      </c>
      <c r="E101" s="3"/>
      <c r="F101" s="3"/>
      <c r="G101" s="8">
        <f>+SUM(G2:G98)</f>
        <v>12683841</v>
      </c>
      <c r="H101" s="8">
        <f>+SUM(H2:H98)</f>
        <v>4904380</v>
      </c>
      <c r="I101" s="13"/>
      <c r="J101" s="8">
        <f>+SUM(J2:J75)</f>
        <v>8659146</v>
      </c>
      <c r="K101" s="8">
        <f>+SUM(K2:K98)</f>
        <v>7480703</v>
      </c>
      <c r="L101" s="8">
        <f>+SUM(L2:L98)</f>
        <v>1677291</v>
      </c>
      <c r="M101" s="23">
        <f>+SUM(M2:M75)</f>
        <v>164</v>
      </c>
      <c r="N101" s="27"/>
      <c r="O101" s="32">
        <f>+SUM(O2:O98)</f>
        <v>614.6255984848483</v>
      </c>
      <c r="P101" s="32">
        <f>+SUM(P2:P98)</f>
        <v>642.55799999999988</v>
      </c>
      <c r="Q101" s="8"/>
      <c r="R101" s="8"/>
      <c r="S101" s="37"/>
      <c r="T101" s="32"/>
      <c r="U101" s="3"/>
      <c r="V101" s="3"/>
      <c r="W101" s="3"/>
      <c r="X101" s="3"/>
    </row>
    <row r="102" spans="1:24" x14ac:dyDescent="0.25">
      <c r="A102" s="4"/>
      <c r="B102" s="4"/>
      <c r="C102" s="19"/>
      <c r="D102" s="9"/>
      <c r="E102" s="4"/>
      <c r="F102" s="4"/>
      <c r="G102" s="9"/>
      <c r="H102" s="9" t="s">
        <v>313</v>
      </c>
      <c r="I102" s="14">
        <f>H101/G101*100</f>
        <v>38.666362973171928</v>
      </c>
      <c r="J102" s="9"/>
      <c r="K102" s="9"/>
      <c r="L102" s="9" t="s">
        <v>314</v>
      </c>
      <c r="M102" s="24"/>
      <c r="N102" s="28"/>
      <c r="O102" s="33" t="s">
        <v>314</v>
      </c>
      <c r="P102" s="33"/>
      <c r="Q102" s="9"/>
      <c r="R102" s="9" t="s">
        <v>314</v>
      </c>
      <c r="S102" s="38"/>
      <c r="T102" s="33"/>
      <c r="U102" s="4"/>
      <c r="V102" s="4"/>
      <c r="W102" s="4"/>
      <c r="X102" s="4"/>
    </row>
    <row r="103" spans="1:24" x14ac:dyDescent="0.25">
      <c r="A103" s="5"/>
      <c r="B103" s="5"/>
      <c r="C103" s="20"/>
      <c r="D103" s="10"/>
      <c r="E103" s="5"/>
      <c r="F103" s="5"/>
      <c r="G103" s="10"/>
      <c r="H103" s="10" t="s">
        <v>315</v>
      </c>
      <c r="I103" s="15">
        <f>STDEV(I2:I75)</f>
        <v>18.170551422830599</v>
      </c>
      <c r="J103" s="10"/>
      <c r="K103" s="10"/>
      <c r="L103" s="10" t="s">
        <v>316</v>
      </c>
      <c r="M103" s="40">
        <f>K101/M101</f>
        <v>45614.042682926833</v>
      </c>
      <c r="N103" s="29"/>
      <c r="O103" s="34" t="s">
        <v>317</v>
      </c>
      <c r="P103" s="44">
        <f>K101/O101</f>
        <v>12171.154306688732</v>
      </c>
      <c r="Q103" s="10"/>
      <c r="R103" s="10" t="s">
        <v>318</v>
      </c>
      <c r="S103" s="39">
        <f>K101/O101/43560</f>
        <v>0.27941125589276244</v>
      </c>
      <c r="T103" s="34"/>
      <c r="U103" s="5"/>
      <c r="V103" s="5"/>
      <c r="W103" s="5"/>
      <c r="X103" s="5"/>
    </row>
    <row r="104" spans="1:24" x14ac:dyDescent="0.25">
      <c r="A104" t="s">
        <v>424</v>
      </c>
    </row>
    <row r="106" spans="1:24" x14ac:dyDescent="0.25">
      <c r="A106" t="s">
        <v>319</v>
      </c>
    </row>
    <row r="107" spans="1:24" x14ac:dyDescent="0.25">
      <c r="A107" t="s">
        <v>31</v>
      </c>
      <c r="B107" t="s">
        <v>32</v>
      </c>
      <c r="C107" s="17">
        <v>45044</v>
      </c>
      <c r="D107" s="7">
        <v>117000</v>
      </c>
      <c r="E107" t="s">
        <v>25</v>
      </c>
      <c r="F107" t="s">
        <v>26</v>
      </c>
      <c r="G107" s="7">
        <v>117000</v>
      </c>
      <c r="H107" s="7">
        <v>47600</v>
      </c>
      <c r="I107" s="12">
        <f t="shared" ref="I107:I135" si="14">H107/G107*100</f>
        <v>40.683760683760681</v>
      </c>
      <c r="J107" s="7">
        <v>145230</v>
      </c>
      <c r="K107" s="7">
        <f>G107-124133</f>
        <v>-7133</v>
      </c>
      <c r="L107" s="7">
        <v>21097</v>
      </c>
      <c r="M107" s="22">
        <v>0</v>
      </c>
      <c r="N107" s="26">
        <v>0</v>
      </c>
      <c r="O107" s="31">
        <v>2.5</v>
      </c>
      <c r="P107" s="31">
        <v>2.5</v>
      </c>
      <c r="Q107" s="7" t="e">
        <f t="shared" ref="Q107:Q135" si="15">K107/M107</f>
        <v>#DIV/0!</v>
      </c>
      <c r="R107" s="7">
        <f t="shared" ref="R107:R135" si="16">K107/O107</f>
        <v>-2853.2</v>
      </c>
      <c r="S107" s="36">
        <f t="shared" ref="S107:S135" si="17">K107/O107/43560</f>
        <v>-6.5500459136822772E-2</v>
      </c>
      <c r="T107" s="31">
        <v>0</v>
      </c>
      <c r="U107" t="s">
        <v>33</v>
      </c>
      <c r="W107" t="s">
        <v>28</v>
      </c>
    </row>
    <row r="108" spans="1:24" x14ac:dyDescent="0.25">
      <c r="A108" t="s">
        <v>43</v>
      </c>
      <c r="B108" t="s">
        <v>44</v>
      </c>
      <c r="C108" s="17">
        <v>45475</v>
      </c>
      <c r="D108" s="7">
        <v>48000</v>
      </c>
      <c r="E108" t="s">
        <v>25</v>
      </c>
      <c r="F108" t="s">
        <v>26</v>
      </c>
      <c r="G108" s="7">
        <v>48000</v>
      </c>
      <c r="H108" s="7">
        <v>70900</v>
      </c>
      <c r="I108" s="12">
        <f t="shared" si="14"/>
        <v>147.70833333333334</v>
      </c>
      <c r="J108" s="7">
        <v>144372</v>
      </c>
      <c r="K108" s="7">
        <f>G108-126805</f>
        <v>-78805</v>
      </c>
      <c r="L108" s="7">
        <v>17567</v>
      </c>
      <c r="M108" s="22">
        <v>0</v>
      </c>
      <c r="N108" s="26">
        <v>0</v>
      </c>
      <c r="O108" s="31">
        <v>1.034</v>
      </c>
      <c r="P108" s="31">
        <v>1.034</v>
      </c>
      <c r="Q108" s="7" t="e">
        <f t="shared" si="15"/>
        <v>#DIV/0!</v>
      </c>
      <c r="R108" s="7">
        <f t="shared" si="16"/>
        <v>-76213.733075435201</v>
      </c>
      <c r="S108" s="36">
        <f t="shared" si="17"/>
        <v>-1.7496265627969514</v>
      </c>
      <c r="T108" s="31">
        <v>0</v>
      </c>
      <c r="U108" t="s">
        <v>45</v>
      </c>
      <c r="W108" t="s">
        <v>28</v>
      </c>
    </row>
    <row r="109" spans="1:24" x14ac:dyDescent="0.25">
      <c r="A109" t="s">
        <v>58</v>
      </c>
      <c r="B109" t="s">
        <v>59</v>
      </c>
      <c r="C109" s="17">
        <v>45191</v>
      </c>
      <c r="D109" s="7">
        <v>159000</v>
      </c>
      <c r="E109" t="s">
        <v>25</v>
      </c>
      <c r="F109" t="s">
        <v>26</v>
      </c>
      <c r="G109" s="7">
        <v>159000</v>
      </c>
      <c r="H109" s="7">
        <v>72800</v>
      </c>
      <c r="I109" s="12">
        <f t="shared" si="14"/>
        <v>45.786163522012579</v>
      </c>
      <c r="J109" s="7">
        <v>229133</v>
      </c>
      <c r="K109" s="7">
        <f>G109-203978</f>
        <v>-44978</v>
      </c>
      <c r="L109" s="7">
        <v>25155</v>
      </c>
      <c r="M109" s="22">
        <v>0</v>
      </c>
      <c r="N109" s="26">
        <v>0</v>
      </c>
      <c r="O109" s="31">
        <v>3.88</v>
      </c>
      <c r="P109" s="31">
        <v>3.88</v>
      </c>
      <c r="Q109" s="7" t="e">
        <f t="shared" si="15"/>
        <v>#DIV/0!</v>
      </c>
      <c r="R109" s="7">
        <f t="shared" si="16"/>
        <v>-11592.268041237114</v>
      </c>
      <c r="S109" s="36">
        <f t="shared" si="17"/>
        <v>-0.26612185585943787</v>
      </c>
      <c r="T109" s="31">
        <v>0</v>
      </c>
      <c r="U109" t="s">
        <v>60</v>
      </c>
      <c r="W109" t="s">
        <v>28</v>
      </c>
    </row>
    <row r="110" spans="1:24" x14ac:dyDescent="0.25">
      <c r="A110" t="s">
        <v>84</v>
      </c>
      <c r="B110" t="s">
        <v>85</v>
      </c>
      <c r="C110" s="17">
        <v>45546</v>
      </c>
      <c r="D110" s="7">
        <v>129250</v>
      </c>
      <c r="E110" t="s">
        <v>29</v>
      </c>
      <c r="F110" t="s">
        <v>86</v>
      </c>
      <c r="G110" s="7">
        <v>129250</v>
      </c>
      <c r="H110" s="7">
        <v>96300</v>
      </c>
      <c r="I110" s="12">
        <f t="shared" si="14"/>
        <v>74.506769825918767</v>
      </c>
      <c r="J110" s="7">
        <v>205344</v>
      </c>
      <c r="K110" s="7">
        <f>G110-178896</f>
        <v>-49646</v>
      </c>
      <c r="L110" s="7">
        <v>26448</v>
      </c>
      <c r="M110" s="22">
        <v>0</v>
      </c>
      <c r="N110" s="26">
        <v>0</v>
      </c>
      <c r="O110" s="31">
        <v>4.32</v>
      </c>
      <c r="P110" s="31">
        <v>4.32</v>
      </c>
      <c r="Q110" s="7" t="e">
        <f t="shared" si="15"/>
        <v>#DIV/0!</v>
      </c>
      <c r="R110" s="7">
        <f t="shared" si="16"/>
        <v>-11492.12962962963</v>
      </c>
      <c r="S110" s="36">
        <f t="shared" si="17"/>
        <v>-0.26382299425228717</v>
      </c>
      <c r="T110" s="31">
        <v>0</v>
      </c>
      <c r="U110" t="s">
        <v>87</v>
      </c>
      <c r="W110" t="s">
        <v>28</v>
      </c>
    </row>
    <row r="111" spans="1:24" x14ac:dyDescent="0.25">
      <c r="A111" t="s">
        <v>88</v>
      </c>
      <c r="B111" t="s">
        <v>89</v>
      </c>
      <c r="C111" s="17">
        <v>45089</v>
      </c>
      <c r="D111" s="7">
        <v>55000</v>
      </c>
      <c r="E111" t="s">
        <v>25</v>
      </c>
      <c r="F111" t="s">
        <v>26</v>
      </c>
      <c r="G111" s="7">
        <v>55000</v>
      </c>
      <c r="H111" s="7">
        <v>26400</v>
      </c>
      <c r="I111" s="12">
        <f t="shared" si="14"/>
        <v>48</v>
      </c>
      <c r="J111" s="7">
        <v>94105</v>
      </c>
      <c r="K111" s="7">
        <f>G111-64962</f>
        <v>-9962</v>
      </c>
      <c r="L111" s="7">
        <v>29143</v>
      </c>
      <c r="M111" s="22">
        <v>0</v>
      </c>
      <c r="N111" s="26">
        <v>0</v>
      </c>
      <c r="O111" s="31">
        <v>5.35</v>
      </c>
      <c r="P111" s="31">
        <v>5.35</v>
      </c>
      <c r="Q111" s="7" t="e">
        <f t="shared" si="15"/>
        <v>#DIV/0!</v>
      </c>
      <c r="R111" s="7">
        <f t="shared" si="16"/>
        <v>-1862.0560747663553</v>
      </c>
      <c r="S111" s="36">
        <f t="shared" si="17"/>
        <v>-4.2746925499686762E-2</v>
      </c>
      <c r="T111" s="31">
        <v>0</v>
      </c>
      <c r="U111" t="s">
        <v>90</v>
      </c>
      <c r="W111" t="s">
        <v>28</v>
      </c>
    </row>
    <row r="112" spans="1:24" x14ac:dyDescent="0.25">
      <c r="A112" t="s">
        <v>88</v>
      </c>
      <c r="B112" t="s">
        <v>89</v>
      </c>
      <c r="C112" s="17">
        <v>45273</v>
      </c>
      <c r="D112" s="7">
        <v>60000</v>
      </c>
      <c r="E112" t="s">
        <v>91</v>
      </c>
      <c r="F112" t="s">
        <v>26</v>
      </c>
      <c r="G112" s="7">
        <v>60000</v>
      </c>
      <c r="H112" s="7">
        <v>26400</v>
      </c>
      <c r="I112" s="12">
        <f t="shared" si="14"/>
        <v>44</v>
      </c>
      <c r="J112" s="7">
        <v>94105</v>
      </c>
      <c r="K112" s="7">
        <f>G112-64962</f>
        <v>-4962</v>
      </c>
      <c r="L112" s="7">
        <v>29143</v>
      </c>
      <c r="M112" s="22">
        <v>0</v>
      </c>
      <c r="N112" s="26">
        <v>0</v>
      </c>
      <c r="O112" s="31">
        <v>5.35</v>
      </c>
      <c r="P112" s="31">
        <v>5.35</v>
      </c>
      <c r="Q112" s="7" t="e">
        <f t="shared" si="15"/>
        <v>#DIV/0!</v>
      </c>
      <c r="R112" s="7">
        <f t="shared" si="16"/>
        <v>-927.47663551401877</v>
      </c>
      <c r="S112" s="36">
        <f t="shared" si="17"/>
        <v>-2.1291933781313561E-2</v>
      </c>
      <c r="T112" s="31">
        <v>0</v>
      </c>
      <c r="U112" t="s">
        <v>92</v>
      </c>
      <c r="W112" t="s">
        <v>28</v>
      </c>
    </row>
    <row r="113" spans="1:23" x14ac:dyDescent="0.25">
      <c r="A113" t="s">
        <v>93</v>
      </c>
      <c r="B113" t="s">
        <v>94</v>
      </c>
      <c r="C113" s="17">
        <v>45481</v>
      </c>
      <c r="D113" s="7">
        <v>20000</v>
      </c>
      <c r="E113" t="s">
        <v>29</v>
      </c>
      <c r="F113" t="s">
        <v>26</v>
      </c>
      <c r="G113" s="7">
        <v>20000</v>
      </c>
      <c r="H113" s="7">
        <v>27600</v>
      </c>
      <c r="I113" s="12">
        <f t="shared" si="14"/>
        <v>138</v>
      </c>
      <c r="J113" s="7">
        <v>65451</v>
      </c>
      <c r="K113" s="7">
        <f>G113-43582</f>
        <v>-23582</v>
      </c>
      <c r="L113" s="7">
        <v>21869</v>
      </c>
      <c r="M113" s="22">
        <v>0</v>
      </c>
      <c r="N113" s="26">
        <v>0</v>
      </c>
      <c r="O113" s="31">
        <v>2.93</v>
      </c>
      <c r="P113" s="31">
        <v>2.93</v>
      </c>
      <c r="Q113" s="7" t="e">
        <f t="shared" si="15"/>
        <v>#DIV/0!</v>
      </c>
      <c r="R113" s="7">
        <f t="shared" si="16"/>
        <v>-8048.4641638225248</v>
      </c>
      <c r="S113" s="36">
        <f t="shared" si="17"/>
        <v>-0.18476731321906623</v>
      </c>
      <c r="T113" s="31">
        <v>0</v>
      </c>
      <c r="U113" t="s">
        <v>95</v>
      </c>
      <c r="W113" t="s">
        <v>28</v>
      </c>
    </row>
    <row r="114" spans="1:23" x14ac:dyDescent="0.25">
      <c r="A114" t="s">
        <v>119</v>
      </c>
      <c r="B114" t="s">
        <v>120</v>
      </c>
      <c r="C114" s="17">
        <v>45699</v>
      </c>
      <c r="D114" s="7">
        <v>35000</v>
      </c>
      <c r="E114" t="s">
        <v>25</v>
      </c>
      <c r="F114" t="s">
        <v>26</v>
      </c>
      <c r="G114" s="7">
        <v>35000</v>
      </c>
      <c r="H114" s="7">
        <v>74200</v>
      </c>
      <c r="I114" s="12">
        <f t="shared" si="14"/>
        <v>212</v>
      </c>
      <c r="J114" s="7">
        <v>148596</v>
      </c>
      <c r="K114" s="7">
        <f>G114-122175</f>
        <v>-87175</v>
      </c>
      <c r="L114" s="7">
        <v>26421</v>
      </c>
      <c r="M114" s="22">
        <v>0</v>
      </c>
      <c r="N114" s="26">
        <v>0</v>
      </c>
      <c r="O114" s="31">
        <v>4.3099999999999996</v>
      </c>
      <c r="P114" s="31">
        <v>4.3099999999999996</v>
      </c>
      <c r="Q114" s="7" t="e">
        <f t="shared" si="15"/>
        <v>#DIV/0!</v>
      </c>
      <c r="R114" s="7">
        <f t="shared" si="16"/>
        <v>-20226.218097447796</v>
      </c>
      <c r="S114" s="36">
        <f t="shared" si="17"/>
        <v>-0.46433007569898521</v>
      </c>
      <c r="T114" s="31">
        <v>0</v>
      </c>
      <c r="U114" t="s">
        <v>121</v>
      </c>
      <c r="W114" t="s">
        <v>28</v>
      </c>
    </row>
    <row r="115" spans="1:23" x14ac:dyDescent="0.25">
      <c r="A115" t="s">
        <v>133</v>
      </c>
      <c r="B115" t="s">
        <v>134</v>
      </c>
      <c r="C115" s="17">
        <v>45181</v>
      </c>
      <c r="D115" s="7">
        <v>77000</v>
      </c>
      <c r="E115" t="s">
        <v>25</v>
      </c>
      <c r="F115" t="s">
        <v>26</v>
      </c>
      <c r="G115" s="7">
        <v>77000</v>
      </c>
      <c r="H115" s="7">
        <v>32800</v>
      </c>
      <c r="I115" s="12">
        <f t="shared" si="14"/>
        <v>42.597402597402592</v>
      </c>
      <c r="J115" s="7">
        <v>99976</v>
      </c>
      <c r="K115" s="7">
        <f>G115-82362</f>
        <v>-5362</v>
      </c>
      <c r="L115" s="7">
        <v>17614</v>
      </c>
      <c r="M115" s="22">
        <v>0</v>
      </c>
      <c r="N115" s="26">
        <v>0</v>
      </c>
      <c r="O115" s="31">
        <v>1.06</v>
      </c>
      <c r="P115" s="31">
        <v>1.06</v>
      </c>
      <c r="Q115" s="7" t="e">
        <f t="shared" si="15"/>
        <v>#DIV/0!</v>
      </c>
      <c r="R115" s="7">
        <f t="shared" si="16"/>
        <v>-5058.4905660377353</v>
      </c>
      <c r="S115" s="36">
        <f t="shared" si="17"/>
        <v>-0.11612696432593515</v>
      </c>
      <c r="T115" s="31">
        <v>0</v>
      </c>
      <c r="U115" t="s">
        <v>135</v>
      </c>
      <c r="W115" t="s">
        <v>28</v>
      </c>
    </row>
    <row r="116" spans="1:23" x14ac:dyDescent="0.25">
      <c r="A116" t="s">
        <v>148</v>
      </c>
      <c r="B116" t="s">
        <v>149</v>
      </c>
      <c r="C116" s="17">
        <v>45393</v>
      </c>
      <c r="D116" s="7">
        <v>105000</v>
      </c>
      <c r="E116" t="s">
        <v>25</v>
      </c>
      <c r="F116" t="s">
        <v>26</v>
      </c>
      <c r="G116" s="7">
        <v>105000</v>
      </c>
      <c r="H116" s="7">
        <v>73200</v>
      </c>
      <c r="I116" s="12">
        <f t="shared" si="14"/>
        <v>69.714285714285722</v>
      </c>
      <c r="J116" s="7">
        <v>143969</v>
      </c>
      <c r="K116" s="7">
        <f>G116-136013</f>
        <v>-31013</v>
      </c>
      <c r="L116" s="7">
        <v>7956</v>
      </c>
      <c r="M116" s="22">
        <v>0</v>
      </c>
      <c r="N116" s="26">
        <v>0</v>
      </c>
      <c r="O116" s="31">
        <v>0.30299999999999999</v>
      </c>
      <c r="P116" s="31">
        <v>0.30299999999999999</v>
      </c>
      <c r="Q116" s="7" t="e">
        <f t="shared" si="15"/>
        <v>#DIV/0!</v>
      </c>
      <c r="R116" s="7">
        <f t="shared" si="16"/>
        <v>-102353.13531353135</v>
      </c>
      <c r="S116" s="36">
        <f t="shared" si="17"/>
        <v>-2.3497046674364408</v>
      </c>
      <c r="T116" s="31">
        <v>0</v>
      </c>
      <c r="U116" t="s">
        <v>150</v>
      </c>
      <c r="W116" t="s">
        <v>28</v>
      </c>
    </row>
    <row r="117" spans="1:23" x14ac:dyDescent="0.25">
      <c r="A117" t="s">
        <v>202</v>
      </c>
      <c r="B117" t="s">
        <v>203</v>
      </c>
      <c r="C117" s="17">
        <v>45420</v>
      </c>
      <c r="D117" s="7">
        <v>500000</v>
      </c>
      <c r="E117" t="s">
        <v>25</v>
      </c>
      <c r="F117" t="s">
        <v>26</v>
      </c>
      <c r="G117" s="7">
        <v>500000</v>
      </c>
      <c r="H117" s="7">
        <v>294500</v>
      </c>
      <c r="I117" s="12">
        <f t="shared" si="14"/>
        <v>58.9</v>
      </c>
      <c r="J117" s="7">
        <v>589626</v>
      </c>
      <c r="K117" s="7">
        <f>G117-563501</f>
        <v>-63501</v>
      </c>
      <c r="L117" s="7">
        <v>26125</v>
      </c>
      <c r="M117" s="22">
        <v>0</v>
      </c>
      <c r="N117" s="26">
        <v>0</v>
      </c>
      <c r="O117" s="31">
        <v>4.3099999999999996</v>
      </c>
      <c r="P117" s="31">
        <v>4.3099999999999996</v>
      </c>
      <c r="Q117" s="7" t="e">
        <f t="shared" si="15"/>
        <v>#DIV/0!</v>
      </c>
      <c r="R117" s="7">
        <f t="shared" si="16"/>
        <v>-14733.41067285383</v>
      </c>
      <c r="S117" s="36">
        <f t="shared" si="17"/>
        <v>-0.33823256824733311</v>
      </c>
      <c r="T117" s="31">
        <v>0</v>
      </c>
      <c r="U117" t="s">
        <v>204</v>
      </c>
      <c r="W117" t="s">
        <v>28</v>
      </c>
    </row>
    <row r="118" spans="1:23" x14ac:dyDescent="0.25">
      <c r="A118" t="s">
        <v>248</v>
      </c>
      <c r="B118" t="s">
        <v>249</v>
      </c>
      <c r="C118" s="17">
        <v>45583</v>
      </c>
      <c r="D118" s="7">
        <v>165000</v>
      </c>
      <c r="E118" t="s">
        <v>91</v>
      </c>
      <c r="F118" t="s">
        <v>26</v>
      </c>
      <c r="G118" s="7">
        <v>165000</v>
      </c>
      <c r="H118" s="7">
        <v>103400</v>
      </c>
      <c r="I118" s="12">
        <f t="shared" si="14"/>
        <v>62.666666666666671</v>
      </c>
      <c r="J118" s="7">
        <v>209452</v>
      </c>
      <c r="K118" s="7">
        <f>G118-191569</f>
        <v>-26569</v>
      </c>
      <c r="L118" s="7">
        <v>17883</v>
      </c>
      <c r="M118" s="22">
        <v>0</v>
      </c>
      <c r="N118" s="26">
        <v>0</v>
      </c>
      <c r="O118" s="31">
        <v>1.21</v>
      </c>
      <c r="P118" s="31">
        <v>1.21</v>
      </c>
      <c r="Q118" s="7" t="e">
        <f t="shared" si="15"/>
        <v>#DIV/0!</v>
      </c>
      <c r="R118" s="7">
        <f t="shared" si="16"/>
        <v>-21957.85123966942</v>
      </c>
      <c r="S118" s="36">
        <f t="shared" si="17"/>
        <v>-0.50408290265540456</v>
      </c>
      <c r="T118" s="31">
        <v>0</v>
      </c>
      <c r="U118" t="s">
        <v>250</v>
      </c>
      <c r="W118" t="s">
        <v>28</v>
      </c>
    </row>
    <row r="119" spans="1:23" x14ac:dyDescent="0.25">
      <c r="A119" t="s">
        <v>257</v>
      </c>
      <c r="B119" t="s">
        <v>258</v>
      </c>
      <c r="C119" s="17">
        <v>45516</v>
      </c>
      <c r="D119" s="7">
        <v>95000</v>
      </c>
      <c r="E119" t="s">
        <v>46</v>
      </c>
      <c r="F119" t="s">
        <v>223</v>
      </c>
      <c r="G119" s="7">
        <v>95000</v>
      </c>
      <c r="H119" s="7">
        <v>63900</v>
      </c>
      <c r="I119" s="12">
        <f t="shared" si="14"/>
        <v>67.26315789473685</v>
      </c>
      <c r="J119" s="7">
        <v>157844</v>
      </c>
      <c r="K119" s="7">
        <f>G119-150526</f>
        <v>-55526</v>
      </c>
      <c r="L119" s="7">
        <v>7318</v>
      </c>
      <c r="M119" s="22">
        <v>0</v>
      </c>
      <c r="N119" s="26">
        <v>0</v>
      </c>
      <c r="O119" s="31">
        <v>0.41799999999999998</v>
      </c>
      <c r="P119" s="31">
        <v>0.41799999999999998</v>
      </c>
      <c r="Q119" s="7" t="e">
        <f t="shared" si="15"/>
        <v>#DIV/0!</v>
      </c>
      <c r="R119" s="7">
        <f t="shared" si="16"/>
        <v>-132837.32057416267</v>
      </c>
      <c r="S119" s="36">
        <f t="shared" si="17"/>
        <v>-3.049525265706214</v>
      </c>
      <c r="T119" s="31">
        <v>0</v>
      </c>
      <c r="U119" t="s">
        <v>256</v>
      </c>
      <c r="W119" t="s">
        <v>28</v>
      </c>
    </row>
    <row r="120" spans="1:23" x14ac:dyDescent="0.25">
      <c r="A120" t="s">
        <v>259</v>
      </c>
      <c r="B120" t="s">
        <v>260</v>
      </c>
      <c r="C120" s="17">
        <v>45712</v>
      </c>
      <c r="D120" s="7">
        <v>122000</v>
      </c>
      <c r="E120" t="s">
        <v>25</v>
      </c>
      <c r="F120" t="s">
        <v>261</v>
      </c>
      <c r="G120" s="7">
        <v>122000</v>
      </c>
      <c r="H120" s="7">
        <v>89300</v>
      </c>
      <c r="I120" s="12">
        <f t="shared" si="14"/>
        <v>73.196721311475414</v>
      </c>
      <c r="J120" s="7">
        <v>145536</v>
      </c>
      <c r="K120" s="7">
        <f>G120-123583</f>
        <v>-1583</v>
      </c>
      <c r="L120" s="7">
        <v>21953</v>
      </c>
      <c r="M120" s="22">
        <v>0</v>
      </c>
      <c r="N120" s="26">
        <v>0</v>
      </c>
      <c r="O120" s="31">
        <v>1.254</v>
      </c>
      <c r="P120" s="31">
        <v>0.83599999999999997</v>
      </c>
      <c r="Q120" s="7" t="e">
        <f t="shared" si="15"/>
        <v>#DIV/0!</v>
      </c>
      <c r="R120" s="7">
        <f t="shared" si="16"/>
        <v>-1262.360446570973</v>
      </c>
      <c r="S120" s="36">
        <f t="shared" si="17"/>
        <v>-2.8979808231656863E-2</v>
      </c>
      <c r="T120" s="31">
        <v>0</v>
      </c>
      <c r="U120" t="s">
        <v>262</v>
      </c>
      <c r="V120" t="s">
        <v>263</v>
      </c>
      <c r="W120" t="s">
        <v>28</v>
      </c>
    </row>
    <row r="121" spans="1:23" x14ac:dyDescent="0.25">
      <c r="A121" t="s">
        <v>263</v>
      </c>
      <c r="B121" t="s">
        <v>255</v>
      </c>
      <c r="C121" s="17">
        <v>45712</v>
      </c>
      <c r="D121" s="7">
        <v>122000</v>
      </c>
      <c r="E121" t="s">
        <v>25</v>
      </c>
      <c r="F121" t="s">
        <v>261</v>
      </c>
      <c r="G121" s="7">
        <v>122000</v>
      </c>
      <c r="H121" s="7">
        <v>89300</v>
      </c>
      <c r="I121" s="12">
        <f t="shared" si="14"/>
        <v>73.196721311475414</v>
      </c>
      <c r="J121" s="7">
        <v>145536</v>
      </c>
      <c r="K121" s="7">
        <f>G121-123583</f>
        <v>-1583</v>
      </c>
      <c r="L121" s="7">
        <v>21953</v>
      </c>
      <c r="M121" s="22">
        <v>0</v>
      </c>
      <c r="N121" s="26">
        <v>0</v>
      </c>
      <c r="O121" s="31">
        <v>1.254</v>
      </c>
      <c r="P121" s="31">
        <v>0.41799999999999998</v>
      </c>
      <c r="Q121" s="7" t="e">
        <f t="shared" si="15"/>
        <v>#DIV/0!</v>
      </c>
      <c r="R121" s="7">
        <f t="shared" si="16"/>
        <v>-1262.360446570973</v>
      </c>
      <c r="S121" s="36">
        <f t="shared" si="17"/>
        <v>-2.8979808231656863E-2</v>
      </c>
      <c r="T121" s="31">
        <v>0</v>
      </c>
      <c r="U121" t="s">
        <v>262</v>
      </c>
      <c r="V121" t="s">
        <v>259</v>
      </c>
      <c r="W121" t="s">
        <v>28</v>
      </c>
    </row>
    <row r="122" spans="1:23" x14ac:dyDescent="0.25">
      <c r="A122" t="s">
        <v>264</v>
      </c>
      <c r="B122" t="s">
        <v>265</v>
      </c>
      <c r="C122" s="17">
        <v>45345</v>
      </c>
      <c r="D122" s="7">
        <v>81500</v>
      </c>
      <c r="E122" t="s">
        <v>266</v>
      </c>
      <c r="F122" t="s">
        <v>223</v>
      </c>
      <c r="G122" s="7">
        <v>81500</v>
      </c>
      <c r="H122" s="7">
        <v>75300</v>
      </c>
      <c r="I122" s="12">
        <f t="shared" si="14"/>
        <v>92.392638036809814</v>
      </c>
      <c r="J122" s="7">
        <v>165973</v>
      </c>
      <c r="K122" s="7">
        <f>G122-144876</f>
        <v>-63376</v>
      </c>
      <c r="L122" s="7">
        <v>21097</v>
      </c>
      <c r="M122" s="22">
        <v>0</v>
      </c>
      <c r="N122" s="26">
        <v>0</v>
      </c>
      <c r="O122" s="31">
        <v>2.5</v>
      </c>
      <c r="P122" s="31">
        <v>2.5</v>
      </c>
      <c r="Q122" s="7" t="e">
        <f t="shared" si="15"/>
        <v>#DIV/0!</v>
      </c>
      <c r="R122" s="7">
        <f t="shared" si="16"/>
        <v>-25350.400000000001</v>
      </c>
      <c r="S122" s="36">
        <f t="shared" si="17"/>
        <v>-0.5819651056014693</v>
      </c>
      <c r="T122" s="31">
        <v>0</v>
      </c>
      <c r="W122" t="s">
        <v>28</v>
      </c>
    </row>
    <row r="123" spans="1:23" x14ac:dyDescent="0.25">
      <c r="A123" t="s">
        <v>279</v>
      </c>
      <c r="B123" t="s">
        <v>280</v>
      </c>
      <c r="C123" s="17">
        <v>45701</v>
      </c>
      <c r="D123" s="7">
        <v>210000</v>
      </c>
      <c r="E123" t="s">
        <v>25</v>
      </c>
      <c r="F123" t="s">
        <v>26</v>
      </c>
      <c r="G123" s="7">
        <v>210000</v>
      </c>
      <c r="H123" s="7">
        <v>100900</v>
      </c>
      <c r="I123" s="12">
        <f t="shared" si="14"/>
        <v>48.047619047619051</v>
      </c>
      <c r="J123" s="7">
        <v>265874</v>
      </c>
      <c r="K123" s="7">
        <f>G123-248009</f>
        <v>-38009</v>
      </c>
      <c r="L123" s="7">
        <v>17865</v>
      </c>
      <c r="M123" s="22">
        <v>0</v>
      </c>
      <c r="N123" s="26">
        <v>0</v>
      </c>
      <c r="O123" s="31">
        <v>1.2</v>
      </c>
      <c r="P123" s="31">
        <v>1.2</v>
      </c>
      <c r="Q123" s="7" t="e">
        <f t="shared" si="15"/>
        <v>#DIV/0!</v>
      </c>
      <c r="R123" s="7">
        <f t="shared" si="16"/>
        <v>-31674.166666666668</v>
      </c>
      <c r="S123" s="36">
        <f t="shared" si="17"/>
        <v>-0.72713881236608513</v>
      </c>
      <c r="T123" s="31">
        <v>0</v>
      </c>
      <c r="U123" t="s">
        <v>281</v>
      </c>
      <c r="W123" t="s">
        <v>28</v>
      </c>
    </row>
    <row r="124" spans="1:23" x14ac:dyDescent="0.25">
      <c r="A124" t="s">
        <v>282</v>
      </c>
      <c r="B124" t="s">
        <v>283</v>
      </c>
      <c r="C124" s="17">
        <v>45736</v>
      </c>
      <c r="D124" s="7">
        <v>95000</v>
      </c>
      <c r="E124" t="s">
        <v>25</v>
      </c>
      <c r="F124" t="s">
        <v>26</v>
      </c>
      <c r="G124" s="7">
        <v>95000</v>
      </c>
      <c r="H124" s="7">
        <v>47500</v>
      </c>
      <c r="I124" s="12">
        <f t="shared" si="14"/>
        <v>50</v>
      </c>
      <c r="J124" s="7">
        <v>120286</v>
      </c>
      <c r="K124" s="7">
        <f>G124-102098</f>
        <v>-7098</v>
      </c>
      <c r="L124" s="7">
        <v>18188</v>
      </c>
      <c r="M124" s="22">
        <v>0</v>
      </c>
      <c r="N124" s="26">
        <v>0</v>
      </c>
      <c r="O124" s="31">
        <v>1.38</v>
      </c>
      <c r="P124" s="31">
        <v>1.38</v>
      </c>
      <c r="Q124" s="7" t="e">
        <f t="shared" si="15"/>
        <v>#DIV/0!</v>
      </c>
      <c r="R124" s="7">
        <f t="shared" si="16"/>
        <v>-5143.4782608695659</v>
      </c>
      <c r="S124" s="36">
        <f t="shared" si="17"/>
        <v>-0.11807801333493034</v>
      </c>
      <c r="T124" s="31">
        <v>0</v>
      </c>
      <c r="U124" t="s">
        <v>284</v>
      </c>
      <c r="W124" t="s">
        <v>28</v>
      </c>
    </row>
    <row r="125" spans="1:23" x14ac:dyDescent="0.25">
      <c r="A125" t="s">
        <v>285</v>
      </c>
      <c r="B125" t="s">
        <v>286</v>
      </c>
      <c r="C125" s="17">
        <v>45604</v>
      </c>
      <c r="D125" s="7">
        <v>47130</v>
      </c>
      <c r="E125" t="s">
        <v>46</v>
      </c>
      <c r="F125" t="s">
        <v>26</v>
      </c>
      <c r="G125" s="7">
        <v>47130</v>
      </c>
      <c r="H125" s="7">
        <v>73300</v>
      </c>
      <c r="I125" s="12">
        <f t="shared" si="14"/>
        <v>155.52726501166984</v>
      </c>
      <c r="J125" s="7">
        <v>147606</v>
      </c>
      <c r="K125" s="7">
        <f>G125-119677</f>
        <v>-72547</v>
      </c>
      <c r="L125" s="7">
        <v>27929</v>
      </c>
      <c r="M125" s="22">
        <v>0</v>
      </c>
      <c r="N125" s="26">
        <v>0</v>
      </c>
      <c r="O125" s="31">
        <v>4.87</v>
      </c>
      <c r="P125" s="31">
        <v>4.87</v>
      </c>
      <c r="Q125" s="7" t="e">
        <f t="shared" si="15"/>
        <v>#DIV/0!</v>
      </c>
      <c r="R125" s="7">
        <f t="shared" si="16"/>
        <v>-14896.71457905544</v>
      </c>
      <c r="S125" s="36">
        <f t="shared" si="17"/>
        <v>-0.34198151007932598</v>
      </c>
      <c r="T125" s="31">
        <v>0</v>
      </c>
      <c r="U125" t="s">
        <v>287</v>
      </c>
      <c r="W125" t="s">
        <v>28</v>
      </c>
    </row>
    <row r="126" spans="1:23" x14ac:dyDescent="0.25">
      <c r="A126" t="s">
        <v>288</v>
      </c>
      <c r="B126" t="s">
        <v>289</v>
      </c>
      <c r="C126" s="17">
        <v>45117</v>
      </c>
      <c r="D126" s="7">
        <v>25000</v>
      </c>
      <c r="E126" t="s">
        <v>25</v>
      </c>
      <c r="F126" t="s">
        <v>110</v>
      </c>
      <c r="G126" s="7">
        <v>25000</v>
      </c>
      <c r="H126" s="7">
        <v>50500</v>
      </c>
      <c r="I126" s="12">
        <f t="shared" si="14"/>
        <v>202</v>
      </c>
      <c r="J126" s="7">
        <v>112276</v>
      </c>
      <c r="K126" s="7">
        <f>G126-93477</f>
        <v>-68477</v>
      </c>
      <c r="L126" s="7">
        <v>18799</v>
      </c>
      <c r="M126" s="22">
        <v>0</v>
      </c>
      <c r="N126" s="26">
        <v>0</v>
      </c>
      <c r="O126" s="31">
        <v>1.61</v>
      </c>
      <c r="P126" s="31">
        <v>1.61</v>
      </c>
      <c r="Q126" s="7" t="e">
        <f t="shared" si="15"/>
        <v>#DIV/0!</v>
      </c>
      <c r="R126" s="7">
        <f t="shared" si="16"/>
        <v>-42532.298136645957</v>
      </c>
      <c r="S126" s="36">
        <f t="shared" si="17"/>
        <v>-0.97640721158507704</v>
      </c>
      <c r="T126" s="31">
        <v>0</v>
      </c>
      <c r="U126" t="s">
        <v>290</v>
      </c>
      <c r="W126" t="s">
        <v>28</v>
      </c>
    </row>
    <row r="127" spans="1:23" x14ac:dyDescent="0.25">
      <c r="A127" t="s">
        <v>292</v>
      </c>
      <c r="B127" t="s">
        <v>293</v>
      </c>
      <c r="C127" s="17">
        <v>45104</v>
      </c>
      <c r="D127" s="7">
        <v>58000</v>
      </c>
      <c r="E127" t="s">
        <v>25</v>
      </c>
      <c r="F127" t="s">
        <v>26</v>
      </c>
      <c r="G127" s="7">
        <v>58000</v>
      </c>
      <c r="H127" s="7">
        <v>33500</v>
      </c>
      <c r="I127" s="12">
        <f t="shared" si="14"/>
        <v>57.758620689655174</v>
      </c>
      <c r="J127" s="7">
        <v>104674</v>
      </c>
      <c r="K127" s="7">
        <f>G127-85085</f>
        <v>-27085</v>
      </c>
      <c r="L127" s="7">
        <v>19589</v>
      </c>
      <c r="M127" s="22">
        <v>0</v>
      </c>
      <c r="N127" s="26">
        <v>0</v>
      </c>
      <c r="O127" s="31">
        <v>1.83</v>
      </c>
      <c r="P127" s="31">
        <v>1.83</v>
      </c>
      <c r="Q127" s="7" t="e">
        <f t="shared" si="15"/>
        <v>#DIV/0!</v>
      </c>
      <c r="R127" s="7">
        <f t="shared" si="16"/>
        <v>-14800.546448087431</v>
      </c>
      <c r="S127" s="36">
        <f t="shared" si="17"/>
        <v>-0.3397737935740916</v>
      </c>
      <c r="T127" s="31">
        <v>0</v>
      </c>
      <c r="U127" t="s">
        <v>294</v>
      </c>
      <c r="W127" t="s">
        <v>28</v>
      </c>
    </row>
    <row r="128" spans="1:23" x14ac:dyDescent="0.25">
      <c r="A128" t="s">
        <v>295</v>
      </c>
      <c r="B128" t="s">
        <v>296</v>
      </c>
      <c r="C128" s="17">
        <v>45315</v>
      </c>
      <c r="D128" s="7">
        <v>68697</v>
      </c>
      <c r="E128" t="s">
        <v>25</v>
      </c>
      <c r="F128" t="s">
        <v>26</v>
      </c>
      <c r="G128" s="7">
        <v>68697</v>
      </c>
      <c r="H128" s="7">
        <v>55700</v>
      </c>
      <c r="I128" s="12">
        <f t="shared" si="14"/>
        <v>81.080687657394066</v>
      </c>
      <c r="J128" s="7">
        <v>124173</v>
      </c>
      <c r="K128" s="7">
        <f>G128-109074</f>
        <v>-40377</v>
      </c>
      <c r="L128" s="7">
        <v>15099</v>
      </c>
      <c r="M128" s="22">
        <v>0</v>
      </c>
      <c r="N128" s="26">
        <v>0</v>
      </c>
      <c r="O128" s="31">
        <v>0.69</v>
      </c>
      <c r="P128" s="31">
        <v>0.69</v>
      </c>
      <c r="Q128" s="7" t="e">
        <f t="shared" si="15"/>
        <v>#DIV/0!</v>
      </c>
      <c r="R128" s="7">
        <f t="shared" si="16"/>
        <v>-58517.391304347831</v>
      </c>
      <c r="S128" s="36">
        <f t="shared" si="17"/>
        <v>-1.3433744560226775</v>
      </c>
      <c r="T128" s="31">
        <v>0</v>
      </c>
      <c r="U128" t="s">
        <v>297</v>
      </c>
      <c r="W128" t="s">
        <v>28</v>
      </c>
    </row>
    <row r="129" spans="1:37" x14ac:dyDescent="0.25">
      <c r="A129" t="s">
        <v>306</v>
      </c>
      <c r="B129" t="s">
        <v>307</v>
      </c>
      <c r="C129" s="17">
        <v>45085</v>
      </c>
      <c r="D129" s="7">
        <v>180000</v>
      </c>
      <c r="E129" t="s">
        <v>25</v>
      </c>
      <c r="F129" t="s">
        <v>26</v>
      </c>
      <c r="G129" s="7">
        <v>180000</v>
      </c>
      <c r="H129" s="7">
        <v>103400</v>
      </c>
      <c r="I129" s="12">
        <f t="shared" si="14"/>
        <v>57.444444444444443</v>
      </c>
      <c r="J129" s="7">
        <v>229899</v>
      </c>
      <c r="K129" s="7">
        <f>G129-199151</f>
        <v>-19151</v>
      </c>
      <c r="L129" s="7">
        <v>30748</v>
      </c>
      <c r="M129" s="22">
        <v>0</v>
      </c>
      <c r="N129" s="26">
        <v>0</v>
      </c>
      <c r="O129" s="31">
        <v>6</v>
      </c>
      <c r="P129" s="31">
        <v>6</v>
      </c>
      <c r="Q129" s="7" t="e">
        <f t="shared" si="15"/>
        <v>#DIV/0!</v>
      </c>
      <c r="R129" s="7">
        <f t="shared" si="16"/>
        <v>-3191.8333333333335</v>
      </c>
      <c r="S129" s="36">
        <f t="shared" si="17"/>
        <v>-7.3274410774410784E-2</v>
      </c>
      <c r="T129" s="31">
        <v>0</v>
      </c>
      <c r="U129" t="s">
        <v>308</v>
      </c>
      <c r="W129" t="s">
        <v>28</v>
      </c>
    </row>
    <row r="130" spans="1:37" x14ac:dyDescent="0.25">
      <c r="A130" t="s">
        <v>154</v>
      </c>
      <c r="B130" t="s">
        <v>155</v>
      </c>
      <c r="C130" s="17">
        <v>45580</v>
      </c>
      <c r="D130" s="7">
        <v>180000</v>
      </c>
      <c r="E130" t="s">
        <v>25</v>
      </c>
      <c r="F130" t="s">
        <v>26</v>
      </c>
      <c r="G130" s="7">
        <v>180000</v>
      </c>
      <c r="H130" s="7">
        <v>97400</v>
      </c>
      <c r="I130" s="12">
        <f t="shared" si="14"/>
        <v>54.111111111111107</v>
      </c>
      <c r="J130" s="7">
        <v>197136</v>
      </c>
      <c r="K130" s="7">
        <f>G130-180575</f>
        <v>-575</v>
      </c>
      <c r="L130" s="7">
        <v>16561</v>
      </c>
      <c r="M130" s="22">
        <v>0</v>
      </c>
      <c r="N130" s="26">
        <v>0</v>
      </c>
      <c r="O130" s="31">
        <v>0.86</v>
      </c>
      <c r="P130" s="31">
        <v>0.86</v>
      </c>
      <c r="Q130" s="7" t="e">
        <f t="shared" si="15"/>
        <v>#DIV/0!</v>
      </c>
      <c r="R130" s="7">
        <f t="shared" si="16"/>
        <v>-668.60465116279067</v>
      </c>
      <c r="S130" s="36">
        <f t="shared" si="17"/>
        <v>-1.5349050761312917E-2</v>
      </c>
      <c r="T130" s="31">
        <v>0</v>
      </c>
      <c r="U130" t="s">
        <v>156</v>
      </c>
      <c r="W130" t="s">
        <v>28</v>
      </c>
    </row>
    <row r="131" spans="1:37" x14ac:dyDescent="0.25">
      <c r="A131" t="s">
        <v>167</v>
      </c>
      <c r="B131" t="s">
        <v>168</v>
      </c>
      <c r="C131" s="17">
        <v>45138</v>
      </c>
      <c r="D131" s="7">
        <v>150000</v>
      </c>
      <c r="E131" t="s">
        <v>25</v>
      </c>
      <c r="F131" t="s">
        <v>26</v>
      </c>
      <c r="G131" s="7">
        <v>150000</v>
      </c>
      <c r="H131" s="7">
        <v>62300</v>
      </c>
      <c r="I131" s="12">
        <f t="shared" si="14"/>
        <v>41.533333333333331</v>
      </c>
      <c r="J131" s="7">
        <v>176557</v>
      </c>
      <c r="K131" s="7">
        <f>G131-158620</f>
        <v>-8620</v>
      </c>
      <c r="L131" s="7">
        <v>17937</v>
      </c>
      <c r="M131" s="22">
        <v>0</v>
      </c>
      <c r="N131" s="26">
        <v>0</v>
      </c>
      <c r="O131" s="31">
        <v>1.24</v>
      </c>
      <c r="P131" s="31">
        <v>1.24</v>
      </c>
      <c r="Q131" s="7" t="e">
        <f t="shared" si="15"/>
        <v>#DIV/0!</v>
      </c>
      <c r="R131" s="7">
        <f t="shared" si="16"/>
        <v>-6951.6129032258068</v>
      </c>
      <c r="S131" s="36">
        <f t="shared" si="17"/>
        <v>-0.15958707307680917</v>
      </c>
      <c r="T131" s="31">
        <v>0</v>
      </c>
      <c r="U131" t="s">
        <v>169</v>
      </c>
      <c r="W131" t="s">
        <v>28</v>
      </c>
    </row>
    <row r="132" spans="1:37" x14ac:dyDescent="0.25">
      <c r="A132" t="s">
        <v>173</v>
      </c>
      <c r="B132" t="s">
        <v>174</v>
      </c>
      <c r="C132" s="17">
        <v>45546</v>
      </c>
      <c r="D132" s="7">
        <v>23000</v>
      </c>
      <c r="E132" t="s">
        <v>29</v>
      </c>
      <c r="F132" t="s">
        <v>86</v>
      </c>
      <c r="G132" s="7">
        <v>23000</v>
      </c>
      <c r="H132" s="7">
        <v>23800</v>
      </c>
      <c r="I132" s="12">
        <f t="shared" si="14"/>
        <v>103.47826086956522</v>
      </c>
      <c r="J132" s="7">
        <v>65733</v>
      </c>
      <c r="K132" s="7">
        <f>G132-47208</f>
        <v>-24208</v>
      </c>
      <c r="L132" s="7">
        <v>18525</v>
      </c>
      <c r="M132" s="22">
        <v>0</v>
      </c>
      <c r="N132" s="26">
        <v>0</v>
      </c>
      <c r="O132" s="31">
        <v>0.95</v>
      </c>
      <c r="P132" s="31">
        <v>0.95</v>
      </c>
      <c r="Q132" s="7" t="e">
        <f t="shared" si="15"/>
        <v>#DIV/0!</v>
      </c>
      <c r="R132" s="7">
        <f t="shared" si="16"/>
        <v>-25482.105263157897</v>
      </c>
      <c r="S132" s="36">
        <f t="shared" si="17"/>
        <v>-0.58498864240491044</v>
      </c>
      <c r="T132" s="31">
        <v>0</v>
      </c>
      <c r="U132" t="s">
        <v>175</v>
      </c>
      <c r="V132" t="s">
        <v>176</v>
      </c>
      <c r="W132" t="s">
        <v>28</v>
      </c>
    </row>
    <row r="133" spans="1:37" x14ac:dyDescent="0.25">
      <c r="A133" t="s">
        <v>220</v>
      </c>
      <c r="B133" t="s">
        <v>221</v>
      </c>
      <c r="C133" s="17">
        <v>45715</v>
      </c>
      <c r="D133" s="7">
        <v>55000</v>
      </c>
      <c r="E133" t="s">
        <v>25</v>
      </c>
      <c r="F133" t="s">
        <v>26</v>
      </c>
      <c r="G133" s="7">
        <v>55000</v>
      </c>
      <c r="H133" s="7">
        <v>38800</v>
      </c>
      <c r="I133" s="12">
        <f t="shared" si="14"/>
        <v>70.545454545454547</v>
      </c>
      <c r="J133" s="7">
        <v>76699</v>
      </c>
      <c r="K133" s="7">
        <f>G133-63788</f>
        <v>-8788</v>
      </c>
      <c r="L133" s="7">
        <v>12911</v>
      </c>
      <c r="M133" s="22">
        <v>0</v>
      </c>
      <c r="N133" s="26">
        <v>0</v>
      </c>
      <c r="O133" s="31">
        <v>0.59</v>
      </c>
      <c r="P133" s="31">
        <v>0.59</v>
      </c>
      <c r="Q133" s="7" t="e">
        <f t="shared" si="15"/>
        <v>#DIV/0!</v>
      </c>
      <c r="R133" s="7">
        <f t="shared" si="16"/>
        <v>-14894.915254237289</v>
      </c>
      <c r="S133" s="36">
        <f t="shared" si="17"/>
        <v>-0.34194020326531882</v>
      </c>
      <c r="T133" s="31">
        <v>0</v>
      </c>
      <c r="U133" t="s">
        <v>222</v>
      </c>
      <c r="W133" t="s">
        <v>28</v>
      </c>
    </row>
    <row r="134" spans="1:37" x14ac:dyDescent="0.25">
      <c r="A134" t="s">
        <v>105</v>
      </c>
      <c r="B134" t="s">
        <v>106</v>
      </c>
      <c r="C134" s="17">
        <v>45198</v>
      </c>
      <c r="D134" s="7">
        <v>167000</v>
      </c>
      <c r="E134" t="s">
        <v>25</v>
      </c>
      <c r="F134" t="s">
        <v>26</v>
      </c>
      <c r="G134" s="7">
        <v>167000</v>
      </c>
      <c r="H134" s="7">
        <v>69500</v>
      </c>
      <c r="I134" s="12">
        <f t="shared" si="14"/>
        <v>41.616766467065872</v>
      </c>
      <c r="J134" s="7">
        <v>192829</v>
      </c>
      <c r="K134" s="7">
        <f>G134-165331</f>
        <v>1669</v>
      </c>
      <c r="L134" s="7">
        <v>27498</v>
      </c>
      <c r="M134" s="22">
        <v>0</v>
      </c>
      <c r="N134" s="26">
        <v>0</v>
      </c>
      <c r="O134" s="31">
        <v>4.71</v>
      </c>
      <c r="P134" s="31">
        <v>4.71</v>
      </c>
      <c r="Q134" s="7" t="e">
        <f t="shared" si="15"/>
        <v>#DIV/0!</v>
      </c>
      <c r="R134" s="7">
        <f t="shared" si="16"/>
        <v>354.3524416135881</v>
      </c>
      <c r="S134" s="36">
        <f t="shared" si="17"/>
        <v>8.1348127092191937E-3</v>
      </c>
      <c r="T134" s="31">
        <v>0</v>
      </c>
      <c r="U134" t="s">
        <v>107</v>
      </c>
      <c r="W134" t="s">
        <v>28</v>
      </c>
    </row>
    <row r="135" spans="1:37" x14ac:dyDescent="0.25">
      <c r="A135" t="s">
        <v>160</v>
      </c>
      <c r="B135" t="s">
        <v>161</v>
      </c>
      <c r="C135" s="17">
        <v>45239</v>
      </c>
      <c r="D135" s="7">
        <v>145000</v>
      </c>
      <c r="E135" t="s">
        <v>25</v>
      </c>
      <c r="F135" t="s">
        <v>26</v>
      </c>
      <c r="G135" s="7">
        <v>145000</v>
      </c>
      <c r="H135" s="7">
        <v>51700</v>
      </c>
      <c r="I135" s="12">
        <f t="shared" si="14"/>
        <v>35.655172413793103</v>
      </c>
      <c r="J135" s="7">
        <v>112292</v>
      </c>
      <c r="K135" s="7">
        <f>G135-104388</f>
        <v>40612</v>
      </c>
      <c r="L135" s="7">
        <v>7904</v>
      </c>
      <c r="M135" s="22">
        <v>0</v>
      </c>
      <c r="N135" s="26">
        <v>0</v>
      </c>
      <c r="O135" s="31">
        <v>0.30099999999999999</v>
      </c>
      <c r="P135" s="31">
        <v>0.30099999999999999</v>
      </c>
      <c r="Q135" s="7" t="e">
        <f t="shared" si="15"/>
        <v>#DIV/0!</v>
      </c>
      <c r="R135" s="7">
        <f t="shared" si="16"/>
        <v>134923.58803986711</v>
      </c>
      <c r="S135" s="36">
        <f t="shared" si="17"/>
        <v>3.0974193764891442</v>
      </c>
      <c r="T135" s="31">
        <v>0</v>
      </c>
      <c r="U135" t="s">
        <v>162</v>
      </c>
      <c r="W135" t="s">
        <v>28</v>
      </c>
    </row>
    <row r="136" spans="1:37" x14ac:dyDescent="0.25">
      <c r="A136" t="s">
        <v>108</v>
      </c>
      <c r="B136" t="s">
        <v>109</v>
      </c>
      <c r="C136" s="17">
        <v>45121</v>
      </c>
      <c r="D136" s="7">
        <v>4000</v>
      </c>
      <c r="E136" t="s">
        <v>25</v>
      </c>
      <c r="F136" t="s">
        <v>110</v>
      </c>
      <c r="G136" s="7">
        <v>4000</v>
      </c>
      <c r="H136" s="7">
        <v>11800</v>
      </c>
      <c r="I136" s="12">
        <f t="shared" ref="I136:I143" si="18">H136/G136*100</f>
        <v>295</v>
      </c>
      <c r="J136" s="7">
        <v>22498</v>
      </c>
      <c r="K136" s="7">
        <f>G136-0</f>
        <v>4000</v>
      </c>
      <c r="L136" s="7">
        <v>22498</v>
      </c>
      <c r="M136" s="22">
        <v>0</v>
      </c>
      <c r="N136" s="26">
        <v>0</v>
      </c>
      <c r="O136" s="31">
        <v>3.14</v>
      </c>
      <c r="P136" s="31">
        <v>3.14</v>
      </c>
      <c r="Q136" s="7" t="e">
        <f t="shared" ref="Q136:Q143" si="19">K136/M136</f>
        <v>#DIV/0!</v>
      </c>
      <c r="R136" s="7">
        <f t="shared" ref="R136:R143" si="20">K136/O136</f>
        <v>1273.8853503184712</v>
      </c>
      <c r="S136" s="36">
        <f t="shared" ref="S136:S143" si="21">K136/O136/43560</f>
        <v>2.924438361612652E-2</v>
      </c>
      <c r="T136" s="31">
        <v>0</v>
      </c>
      <c r="U136" t="s">
        <v>111</v>
      </c>
      <c r="W136" t="s">
        <v>28</v>
      </c>
    </row>
    <row r="137" spans="1:37" x14ac:dyDescent="0.25">
      <c r="A137" t="s">
        <v>276</v>
      </c>
      <c r="B137" t="s">
        <v>277</v>
      </c>
      <c r="C137" s="17">
        <v>45448</v>
      </c>
      <c r="D137" s="7">
        <v>60000</v>
      </c>
      <c r="E137" t="s">
        <v>25</v>
      </c>
      <c r="F137" t="s">
        <v>30</v>
      </c>
      <c r="G137" s="7">
        <v>60000</v>
      </c>
      <c r="H137" s="7">
        <v>33300</v>
      </c>
      <c r="I137" s="12">
        <f t="shared" si="18"/>
        <v>55.500000000000007</v>
      </c>
      <c r="J137" s="7">
        <v>98236</v>
      </c>
      <c r="K137" s="7">
        <f>G137-0</f>
        <v>60000</v>
      </c>
      <c r="L137" s="7">
        <v>98236</v>
      </c>
      <c r="M137" s="22">
        <v>0</v>
      </c>
      <c r="N137" s="26">
        <v>0</v>
      </c>
      <c r="O137" s="31">
        <v>40.22</v>
      </c>
      <c r="P137" s="31">
        <v>40.22</v>
      </c>
      <c r="Q137" s="7" t="e">
        <f t="shared" si="19"/>
        <v>#DIV/0!</v>
      </c>
      <c r="R137" s="7">
        <f t="shared" si="20"/>
        <v>1491.7951268025859</v>
      </c>
      <c r="S137" s="36">
        <f t="shared" si="21"/>
        <v>3.4246903737433103E-2</v>
      </c>
      <c r="T137" s="31">
        <v>0</v>
      </c>
      <c r="U137" t="s">
        <v>278</v>
      </c>
      <c r="W137" t="s">
        <v>28</v>
      </c>
    </row>
    <row r="138" spans="1:37" x14ac:dyDescent="0.25">
      <c r="A138" t="s">
        <v>67</v>
      </c>
      <c r="B138" t="s">
        <v>68</v>
      </c>
      <c r="C138" s="17">
        <v>45608</v>
      </c>
      <c r="D138" s="7">
        <v>420000</v>
      </c>
      <c r="E138" t="s">
        <v>25</v>
      </c>
      <c r="F138" t="s">
        <v>26</v>
      </c>
      <c r="G138" s="7">
        <v>420000</v>
      </c>
      <c r="H138" s="7">
        <v>219600</v>
      </c>
      <c r="I138" s="12">
        <f t="shared" si="18"/>
        <v>52.285714285714292</v>
      </c>
      <c r="J138" s="7">
        <v>444178</v>
      </c>
      <c r="K138" s="7">
        <f>G138-396916</f>
        <v>23084</v>
      </c>
      <c r="L138" s="7">
        <v>47262</v>
      </c>
      <c r="M138" s="22">
        <v>0</v>
      </c>
      <c r="N138" s="26">
        <v>0</v>
      </c>
      <c r="O138" s="31">
        <v>16.739999999999998</v>
      </c>
      <c r="P138" s="31">
        <v>16.739999999999998</v>
      </c>
      <c r="Q138" s="7" t="e">
        <f t="shared" si="19"/>
        <v>#DIV/0!</v>
      </c>
      <c r="R138" s="7">
        <f t="shared" si="20"/>
        <v>1378.972520908005</v>
      </c>
      <c r="S138" s="36">
        <f t="shared" si="21"/>
        <v>3.1656853097061642E-2</v>
      </c>
      <c r="T138" s="31">
        <v>0</v>
      </c>
      <c r="U138" t="s">
        <v>69</v>
      </c>
      <c r="W138" t="s">
        <v>28</v>
      </c>
    </row>
    <row r="139" spans="1:37" x14ac:dyDescent="0.25">
      <c r="A139" t="s">
        <v>136</v>
      </c>
      <c r="B139" t="s">
        <v>137</v>
      </c>
      <c r="C139" s="17">
        <v>45546</v>
      </c>
      <c r="D139" s="7">
        <v>53250</v>
      </c>
      <c r="E139" t="s">
        <v>29</v>
      </c>
      <c r="F139" t="s">
        <v>86</v>
      </c>
      <c r="G139" s="7">
        <v>53250</v>
      </c>
      <c r="H139" s="7">
        <v>72700</v>
      </c>
      <c r="I139" s="12">
        <f t="shared" si="18"/>
        <v>136.52582159624413</v>
      </c>
      <c r="J139" s="7">
        <v>68651</v>
      </c>
      <c r="K139" s="7">
        <f>G139-25786</f>
        <v>27464</v>
      </c>
      <c r="L139" s="7">
        <v>42865</v>
      </c>
      <c r="M139" s="22">
        <v>0</v>
      </c>
      <c r="N139" s="26">
        <v>0</v>
      </c>
      <c r="O139" s="31">
        <v>10.48</v>
      </c>
      <c r="P139" s="31">
        <v>10.48</v>
      </c>
      <c r="Q139" s="7" t="e">
        <f t="shared" si="19"/>
        <v>#DIV/0!</v>
      </c>
      <c r="R139" s="7">
        <f t="shared" si="20"/>
        <v>2620.6106870229005</v>
      </c>
      <c r="S139" s="36">
        <f t="shared" si="21"/>
        <v>6.0160943228257588E-2</v>
      </c>
      <c r="T139" s="31">
        <v>0</v>
      </c>
      <c r="U139" t="s">
        <v>138</v>
      </c>
      <c r="W139" t="s">
        <v>28</v>
      </c>
    </row>
    <row r="140" spans="1:37" x14ac:dyDescent="0.25">
      <c r="A140" t="s">
        <v>190</v>
      </c>
      <c r="B140" t="s">
        <v>191</v>
      </c>
      <c r="C140" s="17">
        <v>45644</v>
      </c>
      <c r="D140" s="7">
        <v>50000</v>
      </c>
      <c r="E140" t="s">
        <v>29</v>
      </c>
      <c r="F140" t="s">
        <v>26</v>
      </c>
      <c r="G140" s="7">
        <v>50000</v>
      </c>
      <c r="H140" s="7">
        <v>27900</v>
      </c>
      <c r="I140" s="12">
        <f t="shared" si="18"/>
        <v>55.800000000000004</v>
      </c>
      <c r="J140" s="7">
        <v>63510</v>
      </c>
      <c r="K140" s="7">
        <f>G140-35231</f>
        <v>14769</v>
      </c>
      <c r="L140" s="7">
        <v>28279</v>
      </c>
      <c r="M140" s="22">
        <v>0</v>
      </c>
      <c r="N140" s="26">
        <v>0</v>
      </c>
      <c r="O140" s="31">
        <v>5</v>
      </c>
      <c r="P140" s="31">
        <v>5</v>
      </c>
      <c r="Q140" s="7" t="e">
        <f t="shared" si="19"/>
        <v>#DIV/0!</v>
      </c>
      <c r="R140" s="7">
        <f t="shared" si="20"/>
        <v>2953.8</v>
      </c>
      <c r="S140" s="36">
        <f t="shared" si="21"/>
        <v>6.780991735537191E-2</v>
      </c>
      <c r="T140" s="31">
        <v>0</v>
      </c>
      <c r="U140" t="s">
        <v>192</v>
      </c>
      <c r="W140" t="s">
        <v>28</v>
      </c>
    </row>
    <row r="141" spans="1:37" x14ac:dyDescent="0.25">
      <c r="A141" t="s">
        <v>224</v>
      </c>
      <c r="B141" t="s">
        <v>225</v>
      </c>
      <c r="C141" s="17">
        <v>45690</v>
      </c>
      <c r="D141" s="7">
        <v>19000</v>
      </c>
      <c r="E141" t="s">
        <v>25</v>
      </c>
      <c r="F141" t="s">
        <v>26</v>
      </c>
      <c r="G141" s="7">
        <v>19000</v>
      </c>
      <c r="H141" s="7">
        <v>16200</v>
      </c>
      <c r="I141" s="12">
        <f t="shared" si="18"/>
        <v>85.263157894736835</v>
      </c>
      <c r="J141" s="7">
        <v>29006</v>
      </c>
      <c r="K141" s="7">
        <f>G141-0</f>
        <v>19000</v>
      </c>
      <c r="L141" s="7">
        <v>29006</v>
      </c>
      <c r="M141" s="22">
        <v>0</v>
      </c>
      <c r="N141" s="26">
        <v>0</v>
      </c>
      <c r="O141" s="31">
        <v>8.92</v>
      </c>
      <c r="P141" s="31">
        <v>8.92</v>
      </c>
      <c r="Q141" s="7" t="e">
        <f t="shared" si="19"/>
        <v>#DIV/0!</v>
      </c>
      <c r="R141" s="7">
        <f t="shared" si="20"/>
        <v>2130.0448430493275</v>
      </c>
      <c r="S141" s="36">
        <f t="shared" si="21"/>
        <v>4.8899101080103938E-2</v>
      </c>
      <c r="T141" s="31">
        <v>0</v>
      </c>
      <c r="U141" t="s">
        <v>226</v>
      </c>
      <c r="W141" t="s">
        <v>28</v>
      </c>
    </row>
    <row r="142" spans="1:37" x14ac:dyDescent="0.25">
      <c r="A142" t="s">
        <v>251</v>
      </c>
      <c r="B142" t="s">
        <v>252</v>
      </c>
      <c r="C142" s="17">
        <v>45434</v>
      </c>
      <c r="D142" s="7">
        <v>132000</v>
      </c>
      <c r="E142" t="s">
        <v>25</v>
      </c>
      <c r="F142" t="s">
        <v>26</v>
      </c>
      <c r="G142" s="7">
        <v>132000</v>
      </c>
      <c r="H142" s="7">
        <v>71000</v>
      </c>
      <c r="I142" s="12">
        <f t="shared" si="18"/>
        <v>53.787878787878782</v>
      </c>
      <c r="J142" s="7">
        <v>144226</v>
      </c>
      <c r="K142" s="7">
        <f>G142-130002</f>
        <v>1998</v>
      </c>
      <c r="L142" s="7">
        <v>14224</v>
      </c>
      <c r="M142" s="22">
        <v>0</v>
      </c>
      <c r="N142" s="26">
        <v>0</v>
      </c>
      <c r="O142" s="31">
        <v>0.65</v>
      </c>
      <c r="P142" s="31">
        <v>0.65</v>
      </c>
      <c r="Q142" s="7" t="e">
        <f t="shared" si="19"/>
        <v>#DIV/0!</v>
      </c>
      <c r="R142" s="7">
        <f t="shared" si="20"/>
        <v>3073.8461538461538</v>
      </c>
      <c r="S142" s="36">
        <f t="shared" si="21"/>
        <v>7.056579783852511E-2</v>
      </c>
      <c r="T142" s="31">
        <v>0</v>
      </c>
      <c r="U142">
        <v>1552866</v>
      </c>
      <c r="W142" t="s">
        <v>28</v>
      </c>
    </row>
    <row r="143" spans="1:37" x14ac:dyDescent="0.25">
      <c r="A143" t="s">
        <v>187</v>
      </c>
      <c r="B143" t="s">
        <v>188</v>
      </c>
      <c r="C143" s="17">
        <v>45030</v>
      </c>
      <c r="D143" s="7">
        <v>200000</v>
      </c>
      <c r="E143" t="s">
        <v>25</v>
      </c>
      <c r="F143" t="s">
        <v>26</v>
      </c>
      <c r="G143" s="7">
        <v>200000</v>
      </c>
      <c r="H143" s="7">
        <v>95200</v>
      </c>
      <c r="I143" s="12">
        <f t="shared" si="18"/>
        <v>47.599999999999994</v>
      </c>
      <c r="J143" s="7">
        <v>208842</v>
      </c>
      <c r="K143" s="7">
        <f>G143-167097</f>
        <v>32903</v>
      </c>
      <c r="L143" s="7">
        <v>41745</v>
      </c>
      <c r="M143" s="22">
        <v>0</v>
      </c>
      <c r="N143" s="26">
        <v>0</v>
      </c>
      <c r="O143" s="31">
        <v>10</v>
      </c>
      <c r="P143" s="31">
        <v>10</v>
      </c>
      <c r="Q143" s="7" t="e">
        <f t="shared" si="19"/>
        <v>#DIV/0!</v>
      </c>
      <c r="R143" s="7">
        <f t="shared" si="20"/>
        <v>3290.3</v>
      </c>
      <c r="S143" s="36">
        <f t="shared" si="21"/>
        <v>7.5534894398530769E-2</v>
      </c>
      <c r="T143" s="31">
        <v>0</v>
      </c>
      <c r="U143" t="s">
        <v>189</v>
      </c>
      <c r="W143" t="s">
        <v>28</v>
      </c>
    </row>
    <row r="144" spans="1:37" x14ac:dyDescent="0.25">
      <c r="A144" t="s">
        <v>23</v>
      </c>
      <c r="B144" t="s">
        <v>24</v>
      </c>
      <c r="C144" s="17">
        <v>45583</v>
      </c>
      <c r="D144" s="7">
        <v>50000</v>
      </c>
      <c r="E144" t="s">
        <v>25</v>
      </c>
      <c r="F144" t="s">
        <v>26</v>
      </c>
      <c r="G144" s="7">
        <v>50000</v>
      </c>
      <c r="H144" s="7">
        <v>26700</v>
      </c>
      <c r="I144" s="12">
        <f t="shared" ref="I144" si="22">H144/G144*100</f>
        <v>53.400000000000006</v>
      </c>
      <c r="J144" s="7">
        <v>62571</v>
      </c>
      <c r="K144" s="7">
        <f>G144-33181</f>
        <v>16819</v>
      </c>
      <c r="L144" s="7">
        <v>29390</v>
      </c>
      <c r="M144" s="22">
        <v>0</v>
      </c>
      <c r="N144" s="26">
        <v>0</v>
      </c>
      <c r="O144" s="31">
        <v>5.45</v>
      </c>
      <c r="P144" s="31">
        <v>5.45</v>
      </c>
      <c r="Q144" s="7" t="e">
        <f t="shared" ref="Q144" si="23">K144/M144</f>
        <v>#DIV/0!</v>
      </c>
      <c r="R144" s="7">
        <f t="shared" ref="R144" si="24">K144/O144</f>
        <v>3086.0550458715597</v>
      </c>
      <c r="S144" s="36">
        <f t="shared" ref="S144" si="25">K144/O144/43560</f>
        <v>7.0846075433231404E-2</v>
      </c>
      <c r="T144" s="31">
        <v>0</v>
      </c>
      <c r="U144" t="s">
        <v>27</v>
      </c>
      <c r="W144" t="s">
        <v>28</v>
      </c>
      <c r="AI144" s="2"/>
      <c r="AK144" s="2"/>
    </row>
    <row r="145" spans="1:24" x14ac:dyDescent="0.25">
      <c r="A145" t="s">
        <v>116</v>
      </c>
      <c r="B145" t="s">
        <v>117</v>
      </c>
      <c r="C145" s="17">
        <v>45278</v>
      </c>
      <c r="D145" s="7">
        <v>245000</v>
      </c>
      <c r="E145" t="s">
        <v>25</v>
      </c>
      <c r="F145" t="s">
        <v>26</v>
      </c>
      <c r="G145" s="7">
        <v>245000</v>
      </c>
      <c r="H145" s="7">
        <v>127800</v>
      </c>
      <c r="I145" s="12">
        <f>H145/G145*100</f>
        <v>52.163265306122454</v>
      </c>
      <c r="J145" s="7">
        <v>231612</v>
      </c>
      <c r="K145" s="7">
        <f>G145-187118</f>
        <v>57882</v>
      </c>
      <c r="L145" s="7">
        <v>44494</v>
      </c>
      <c r="M145" s="22">
        <v>0</v>
      </c>
      <c r="N145" s="26">
        <v>0</v>
      </c>
      <c r="O145" s="31">
        <v>18.27</v>
      </c>
      <c r="P145" s="31">
        <v>18.27</v>
      </c>
      <c r="Q145" s="7" t="e">
        <f>K145/M145</f>
        <v>#DIV/0!</v>
      </c>
      <c r="R145" s="7">
        <f>K145/O145</f>
        <v>3168.1444991789822</v>
      </c>
      <c r="S145" s="36">
        <f>K145/O145/43560</f>
        <v>7.2730589971969281E-2</v>
      </c>
      <c r="T145" s="31">
        <v>0</v>
      </c>
      <c r="U145" t="s">
        <v>118</v>
      </c>
      <c r="W145" t="s">
        <v>28</v>
      </c>
    </row>
    <row r="146" spans="1:24" x14ac:dyDescent="0.25">
      <c r="A146" t="s">
        <v>273</v>
      </c>
      <c r="B146" t="s">
        <v>274</v>
      </c>
      <c r="C146" s="17">
        <v>45065</v>
      </c>
      <c r="D146" s="7">
        <v>231000</v>
      </c>
      <c r="E146" t="s">
        <v>25</v>
      </c>
      <c r="F146" t="s">
        <v>26</v>
      </c>
      <c r="G146" s="7">
        <v>231000</v>
      </c>
      <c r="H146" s="7">
        <v>109300</v>
      </c>
      <c r="I146" s="12">
        <f>H146/G146*100</f>
        <v>47.316017316017316</v>
      </c>
      <c r="J146" s="7">
        <v>243421</v>
      </c>
      <c r="K146" s="7">
        <f>G146-215142</f>
        <v>15858</v>
      </c>
      <c r="L146" s="7">
        <v>28279</v>
      </c>
      <c r="M146" s="22">
        <v>0</v>
      </c>
      <c r="N146" s="26">
        <v>0</v>
      </c>
      <c r="O146" s="31">
        <v>5</v>
      </c>
      <c r="P146" s="31">
        <v>5</v>
      </c>
      <c r="Q146" s="7" t="e">
        <f>K146/M146</f>
        <v>#DIV/0!</v>
      </c>
      <c r="R146" s="7">
        <f>K146/O146</f>
        <v>3171.6</v>
      </c>
      <c r="S146" s="36">
        <f>K146/O146/43560</f>
        <v>7.28099173553719E-2</v>
      </c>
      <c r="T146" s="31">
        <v>0</v>
      </c>
      <c r="U146" t="s">
        <v>275</v>
      </c>
      <c r="W146" t="s">
        <v>28</v>
      </c>
    </row>
    <row r="147" spans="1:24" x14ac:dyDescent="0.25">
      <c r="A147" t="s">
        <v>270</v>
      </c>
      <c r="B147" t="s">
        <v>271</v>
      </c>
      <c r="C147" s="17">
        <v>45632</v>
      </c>
      <c r="D147" s="7">
        <v>205000</v>
      </c>
      <c r="E147" t="s">
        <v>25</v>
      </c>
      <c r="F147" t="s">
        <v>26</v>
      </c>
      <c r="G147" s="7">
        <v>205000</v>
      </c>
      <c r="H147" s="7">
        <v>106700</v>
      </c>
      <c r="I147" s="12">
        <f>H147/G147*100</f>
        <v>52.048780487804876</v>
      </c>
      <c r="J147" s="7">
        <v>215011</v>
      </c>
      <c r="K147" s="7">
        <f>G147-186732</f>
        <v>18268</v>
      </c>
      <c r="L147" s="7">
        <v>28279</v>
      </c>
      <c r="M147" s="22">
        <v>0</v>
      </c>
      <c r="N147" s="26">
        <v>0</v>
      </c>
      <c r="O147" s="31">
        <v>5</v>
      </c>
      <c r="P147" s="31">
        <v>5</v>
      </c>
      <c r="Q147" s="7" t="e">
        <f>K147/M147</f>
        <v>#DIV/0!</v>
      </c>
      <c r="R147" s="7">
        <f>K147/O147</f>
        <v>3653.6</v>
      </c>
      <c r="S147" s="36">
        <f>K147/O147/43560</f>
        <v>8.3875114784205687E-2</v>
      </c>
      <c r="T147" s="31">
        <v>0</v>
      </c>
      <c r="U147" t="s">
        <v>272</v>
      </c>
      <c r="W147" t="s">
        <v>28</v>
      </c>
    </row>
    <row r="153" spans="1:24" x14ac:dyDescent="0.25">
      <c r="A153" t="s">
        <v>521</v>
      </c>
      <c r="B153" t="s">
        <v>471</v>
      </c>
      <c r="C153" s="17">
        <v>45040</v>
      </c>
      <c r="D153" s="7">
        <v>55000</v>
      </c>
      <c r="E153" t="s">
        <v>25</v>
      </c>
      <c r="F153" t="s">
        <v>386</v>
      </c>
      <c r="G153" s="7">
        <v>55000</v>
      </c>
      <c r="H153" s="7">
        <v>17700</v>
      </c>
      <c r="I153" s="12">
        <v>32.18</v>
      </c>
      <c r="K153" s="7">
        <v>55000</v>
      </c>
      <c r="O153" s="31">
        <v>11.12</v>
      </c>
      <c r="P153" s="31">
        <v>11.57</v>
      </c>
      <c r="R153" s="7">
        <v>4957</v>
      </c>
      <c r="U153" t="s">
        <v>472</v>
      </c>
      <c r="X153" t="s">
        <v>473</v>
      </c>
    </row>
    <row r="154" spans="1:24" x14ac:dyDescent="0.25">
      <c r="A154" t="s">
        <v>518</v>
      </c>
      <c r="B154" t="s">
        <v>461</v>
      </c>
      <c r="C154" s="17">
        <v>45282</v>
      </c>
      <c r="D154" s="7">
        <v>234000</v>
      </c>
      <c r="E154" t="s">
        <v>25</v>
      </c>
      <c r="F154" t="s">
        <v>386</v>
      </c>
      <c r="G154" s="7">
        <v>234000</v>
      </c>
      <c r="H154" s="7">
        <v>85600</v>
      </c>
      <c r="I154" s="12">
        <f t="shared" ref="I154" si="26">H154/G154*100</f>
        <v>36.581196581196579</v>
      </c>
      <c r="K154" s="7">
        <v>234000</v>
      </c>
      <c r="O154" s="31">
        <v>55.83</v>
      </c>
      <c r="P154" s="31">
        <v>57.05</v>
      </c>
      <c r="R154" s="42">
        <v>4191</v>
      </c>
      <c r="U154" t="s">
        <v>462</v>
      </c>
      <c r="X154" t="s">
        <v>463</v>
      </c>
    </row>
    <row r="155" spans="1:24" x14ac:dyDescent="0.25">
      <c r="A155" t="s">
        <v>438</v>
      </c>
      <c r="B155" t="s">
        <v>351</v>
      </c>
      <c r="C155" s="17">
        <v>45506</v>
      </c>
      <c r="D155" s="7">
        <v>135000</v>
      </c>
      <c r="E155" t="s">
        <v>25</v>
      </c>
      <c r="F155" t="s">
        <v>26</v>
      </c>
      <c r="G155" s="7">
        <v>135000</v>
      </c>
      <c r="H155" s="7">
        <v>44600</v>
      </c>
      <c r="I155" s="12">
        <f t="shared" ref="I155:I164" si="27">H155/G155*100</f>
        <v>33.037037037037038</v>
      </c>
      <c r="K155" s="7">
        <v>135000</v>
      </c>
      <c r="O155" s="41">
        <v>29.98</v>
      </c>
      <c r="P155" s="12">
        <v>29.98</v>
      </c>
      <c r="R155" s="7">
        <v>4503</v>
      </c>
      <c r="U155" t="s">
        <v>362</v>
      </c>
      <c r="X155" t="s">
        <v>371</v>
      </c>
    </row>
    <row r="156" spans="1:24" x14ac:dyDescent="0.25">
      <c r="A156" t="s">
        <v>431</v>
      </c>
      <c r="B156" t="s">
        <v>327</v>
      </c>
      <c r="C156" s="17">
        <v>45687</v>
      </c>
      <c r="D156" s="7">
        <v>45000</v>
      </c>
      <c r="E156" t="s">
        <v>25</v>
      </c>
      <c r="F156" t="s">
        <v>26</v>
      </c>
      <c r="G156" s="7">
        <v>45000</v>
      </c>
      <c r="H156" s="7">
        <v>20200</v>
      </c>
      <c r="I156" s="12">
        <f t="shared" si="27"/>
        <v>44.888888888888886</v>
      </c>
      <c r="K156" s="7">
        <v>45000</v>
      </c>
      <c r="O156" s="31">
        <v>11</v>
      </c>
      <c r="P156" s="41">
        <v>11</v>
      </c>
      <c r="R156" s="7">
        <v>4091</v>
      </c>
      <c r="U156" t="s">
        <v>335</v>
      </c>
      <c r="X156" t="s">
        <v>345</v>
      </c>
    </row>
    <row r="157" spans="1:24" x14ac:dyDescent="0.25">
      <c r="A157" t="s">
        <v>430</v>
      </c>
      <c r="B157" t="s">
        <v>326</v>
      </c>
      <c r="C157" s="17">
        <v>45436</v>
      </c>
      <c r="D157" s="7">
        <v>220000</v>
      </c>
      <c r="E157" t="s">
        <v>25</v>
      </c>
      <c r="F157" t="s">
        <v>26</v>
      </c>
      <c r="G157" s="7">
        <v>220000</v>
      </c>
      <c r="H157" s="7">
        <v>132600</v>
      </c>
      <c r="I157" s="12">
        <f t="shared" si="27"/>
        <v>60.27272727272728</v>
      </c>
      <c r="K157" s="7">
        <v>220000</v>
      </c>
      <c r="O157" s="31">
        <v>39.5</v>
      </c>
      <c r="P157" s="41">
        <v>40</v>
      </c>
      <c r="R157" s="7">
        <v>5570</v>
      </c>
      <c r="U157" t="s">
        <v>334</v>
      </c>
      <c r="X157" t="s">
        <v>344</v>
      </c>
    </row>
    <row r="158" spans="1:24" x14ac:dyDescent="0.25">
      <c r="A158" t="s">
        <v>529</v>
      </c>
      <c r="B158" t="s">
        <v>400</v>
      </c>
      <c r="C158" s="17">
        <v>45058</v>
      </c>
      <c r="D158" s="7">
        <v>153000</v>
      </c>
      <c r="E158" t="s">
        <v>25</v>
      </c>
      <c r="F158" t="s">
        <v>494</v>
      </c>
      <c r="G158" s="7">
        <v>153000</v>
      </c>
      <c r="H158" s="7">
        <v>78100</v>
      </c>
      <c r="I158" s="12">
        <f t="shared" si="27"/>
        <v>51.045751633986924</v>
      </c>
      <c r="K158" s="7">
        <v>153000</v>
      </c>
      <c r="O158" s="31">
        <v>32.35</v>
      </c>
      <c r="P158" s="12">
        <v>32.4</v>
      </c>
      <c r="R158" s="7">
        <v>4729.5208655332299</v>
      </c>
      <c r="U158" t="s">
        <v>498</v>
      </c>
      <c r="V158" t="s">
        <v>504</v>
      </c>
      <c r="X158" t="s">
        <v>508</v>
      </c>
    </row>
    <row r="159" spans="1:24" x14ac:dyDescent="0.25">
      <c r="A159" t="s">
        <v>532</v>
      </c>
      <c r="B159" t="s">
        <v>491</v>
      </c>
      <c r="C159" s="17">
        <v>45359</v>
      </c>
      <c r="D159" s="7">
        <v>375000</v>
      </c>
      <c r="E159" t="s">
        <v>25</v>
      </c>
      <c r="F159" t="s">
        <v>386</v>
      </c>
      <c r="G159" s="7">
        <v>375000</v>
      </c>
      <c r="H159" s="7">
        <v>184000</v>
      </c>
      <c r="I159" s="12">
        <f t="shared" si="27"/>
        <v>49.066666666666663</v>
      </c>
      <c r="K159" s="7">
        <v>375000</v>
      </c>
      <c r="O159" s="31">
        <v>74.64</v>
      </c>
      <c r="P159" s="12">
        <v>80</v>
      </c>
      <c r="R159" s="7">
        <v>5024.11575562701</v>
      </c>
      <c r="U159" t="s">
        <v>501</v>
      </c>
      <c r="X159" t="s">
        <v>511</v>
      </c>
    </row>
    <row r="160" spans="1:24" x14ac:dyDescent="0.25">
      <c r="A160" t="s">
        <v>534</v>
      </c>
      <c r="B160" t="s">
        <v>493</v>
      </c>
      <c r="C160" s="17">
        <v>45119</v>
      </c>
      <c r="D160" s="7">
        <v>200000</v>
      </c>
      <c r="E160" t="s">
        <v>25</v>
      </c>
      <c r="F160" t="s">
        <v>386</v>
      </c>
      <c r="G160" s="7">
        <v>200000</v>
      </c>
      <c r="H160" s="7">
        <v>84800</v>
      </c>
      <c r="I160" s="12">
        <f t="shared" si="27"/>
        <v>42.4</v>
      </c>
      <c r="K160" s="7">
        <v>200000</v>
      </c>
      <c r="O160" s="31">
        <v>34.619999999999997</v>
      </c>
      <c r="P160" s="12">
        <v>40</v>
      </c>
      <c r="R160" s="7">
        <v>5777.0075101097636</v>
      </c>
      <c r="U160" t="s">
        <v>503</v>
      </c>
      <c r="X160" t="s">
        <v>513</v>
      </c>
    </row>
    <row r="161" spans="1:24" x14ac:dyDescent="0.25">
      <c r="A161" t="s">
        <v>522</v>
      </c>
      <c r="B161" t="s">
        <v>471</v>
      </c>
      <c r="C161" s="17">
        <v>45026</v>
      </c>
      <c r="D161" s="7">
        <v>55000</v>
      </c>
      <c r="E161" t="s">
        <v>25</v>
      </c>
      <c r="F161" t="s">
        <v>386</v>
      </c>
      <c r="G161" s="7">
        <v>55000</v>
      </c>
      <c r="H161" s="7">
        <v>17900</v>
      </c>
      <c r="I161" s="12">
        <f t="shared" si="27"/>
        <v>32.545454545454547</v>
      </c>
      <c r="K161" s="7">
        <v>55000</v>
      </c>
      <c r="O161" s="41">
        <v>10.63</v>
      </c>
      <c r="P161" s="31">
        <v>11.63</v>
      </c>
      <c r="R161" s="7">
        <v>5174.0357478833484</v>
      </c>
      <c r="U161" t="s">
        <v>474</v>
      </c>
      <c r="X161" t="s">
        <v>475</v>
      </c>
    </row>
    <row r="162" spans="1:24" x14ac:dyDescent="0.25">
      <c r="A162" t="s">
        <v>525</v>
      </c>
      <c r="B162" t="s">
        <v>482</v>
      </c>
      <c r="C162" s="17">
        <v>45288</v>
      </c>
      <c r="D162" s="7">
        <v>260000</v>
      </c>
      <c r="E162" t="s">
        <v>25</v>
      </c>
      <c r="F162" t="s">
        <v>386</v>
      </c>
      <c r="G162" s="7">
        <v>260000</v>
      </c>
      <c r="H162" s="7">
        <v>63300</v>
      </c>
      <c r="I162" s="12">
        <f t="shared" si="27"/>
        <v>24.346153846153847</v>
      </c>
      <c r="K162" s="7">
        <v>260000</v>
      </c>
      <c r="O162" s="31">
        <v>68.97</v>
      </c>
      <c r="P162" s="12">
        <v>70</v>
      </c>
      <c r="R162" s="7">
        <v>3769.7549659272149</v>
      </c>
      <c r="U162" t="s">
        <v>484</v>
      </c>
      <c r="X162" t="s">
        <v>485</v>
      </c>
    </row>
    <row r="163" spans="1:24" x14ac:dyDescent="0.25">
      <c r="A163" t="s">
        <v>442</v>
      </c>
      <c r="B163" t="s">
        <v>354</v>
      </c>
      <c r="C163" s="17">
        <v>45667</v>
      </c>
      <c r="D163" s="7">
        <v>76000</v>
      </c>
      <c r="E163" t="s">
        <v>25</v>
      </c>
      <c r="F163" t="s">
        <v>26</v>
      </c>
      <c r="G163" s="7">
        <v>76000</v>
      </c>
      <c r="H163" s="7">
        <v>43200</v>
      </c>
      <c r="I163" s="12">
        <f t="shared" si="27"/>
        <v>56.84210526315789</v>
      </c>
      <c r="K163" s="7">
        <v>76000</v>
      </c>
      <c r="O163" s="41">
        <v>15.98</v>
      </c>
      <c r="P163" s="12">
        <v>20</v>
      </c>
      <c r="R163" s="7">
        <v>4756</v>
      </c>
      <c r="U163" t="s">
        <v>366</v>
      </c>
      <c r="X163" t="s">
        <v>375</v>
      </c>
    </row>
    <row r="164" spans="1:24" x14ac:dyDescent="0.25">
      <c r="A164" t="s">
        <v>449</v>
      </c>
      <c r="B164" t="s">
        <v>383</v>
      </c>
      <c r="C164" s="17">
        <v>45432</v>
      </c>
      <c r="D164" s="7">
        <v>98000</v>
      </c>
      <c r="E164" t="s">
        <v>25</v>
      </c>
      <c r="F164" t="s">
        <v>386</v>
      </c>
      <c r="G164" s="7">
        <v>98000</v>
      </c>
      <c r="H164" s="7">
        <v>34800</v>
      </c>
      <c r="I164" s="12">
        <f t="shared" si="27"/>
        <v>35.510204081632651</v>
      </c>
      <c r="K164" s="7">
        <v>98000</v>
      </c>
      <c r="O164" s="31">
        <v>21.876969696969695</v>
      </c>
      <c r="P164" s="31">
        <v>22.18</v>
      </c>
      <c r="R164" s="7">
        <v>4479.5966423802538</v>
      </c>
      <c r="U164" t="s">
        <v>57</v>
      </c>
      <c r="X164" t="s">
        <v>399</v>
      </c>
    </row>
    <row r="165" spans="1:24" x14ac:dyDescent="0.25">
      <c r="A165" t="s">
        <v>451</v>
      </c>
      <c r="B165" t="s">
        <v>384</v>
      </c>
      <c r="C165" s="17">
        <v>45681</v>
      </c>
      <c r="D165" s="7">
        <v>115000</v>
      </c>
      <c r="E165" t="s">
        <v>25</v>
      </c>
      <c r="F165" t="s">
        <v>386</v>
      </c>
      <c r="G165" s="7">
        <v>115000</v>
      </c>
      <c r="H165" s="7">
        <v>40000</v>
      </c>
      <c r="I165" s="12">
        <v>34.782608695652172</v>
      </c>
      <c r="K165" s="7">
        <v>115000</v>
      </c>
      <c r="O165" s="31">
        <v>26.63</v>
      </c>
      <c r="P165" s="31">
        <v>30</v>
      </c>
      <c r="R165" s="7">
        <v>4318.4378520465643</v>
      </c>
      <c r="U165" t="s">
        <v>415</v>
      </c>
      <c r="X165" t="s">
        <v>407</v>
      </c>
    </row>
    <row r="166" spans="1:24" x14ac:dyDescent="0.25">
      <c r="A166" t="s">
        <v>454</v>
      </c>
      <c r="B166" t="s">
        <v>402</v>
      </c>
      <c r="C166" s="17">
        <v>45576</v>
      </c>
      <c r="D166" s="7">
        <v>42000</v>
      </c>
      <c r="E166" t="s">
        <v>25</v>
      </c>
      <c r="F166" t="s">
        <v>386</v>
      </c>
      <c r="G166" s="7">
        <v>42000</v>
      </c>
      <c r="H166" s="7">
        <v>28000</v>
      </c>
      <c r="I166" s="12">
        <v>66.666666666666657</v>
      </c>
      <c r="K166" s="7">
        <v>42000</v>
      </c>
      <c r="O166" s="31">
        <v>7.0363636363636362</v>
      </c>
      <c r="P166" s="31">
        <v>7.27</v>
      </c>
      <c r="R166" s="7">
        <v>5968.9922480620153</v>
      </c>
      <c r="U166" t="s">
        <v>418</v>
      </c>
      <c r="X166" t="s">
        <v>410</v>
      </c>
    </row>
    <row r="167" spans="1:24" x14ac:dyDescent="0.25">
      <c r="A167" t="s">
        <v>453</v>
      </c>
      <c r="B167" t="s">
        <v>401</v>
      </c>
      <c r="C167" s="17">
        <v>45708</v>
      </c>
      <c r="D167" s="7">
        <v>110000</v>
      </c>
      <c r="E167" t="s">
        <v>25</v>
      </c>
      <c r="F167" t="s">
        <v>386</v>
      </c>
      <c r="G167" s="7">
        <v>110000</v>
      </c>
      <c r="H167" s="7">
        <v>58200</v>
      </c>
      <c r="I167" s="12">
        <v>52.909090909090907</v>
      </c>
      <c r="K167" s="7">
        <v>110000</v>
      </c>
      <c r="O167" s="31">
        <v>18.977007575757575</v>
      </c>
      <c r="P167" s="31">
        <v>20.13</v>
      </c>
      <c r="R167" s="7">
        <v>5796.488174485472</v>
      </c>
      <c r="U167" t="s">
        <v>417</v>
      </c>
      <c r="X167" t="s">
        <v>409</v>
      </c>
    </row>
  </sheetData>
  <sheetProtection algorithmName="SHA-512" hashValue="gnSk9tGkIK03TB8AbQ0T2LdSEQCs0Ey2aeY62dvrfTk1OkfLMoY5KM5YS2thiiPmIjRdftNVTijmAFlr1Q8slA==" saltValue="6sDgHCUQRBoqsdydiSOkDA==" spinCount="100000" sheet="1" objects="1" scenarios="1" selectLockedCells="1" selectUnlockedCells="1"/>
  <conditionalFormatting sqref="A2:X74 A76:X100 A107:X147 A153:X160 E161:F161 W161:X161 A162:X167">
    <cfRule type="expression" dxfId="3" priority="11" stopIfTrue="1">
      <formula>MOD(ROW(),4)&gt;1</formula>
    </cfRule>
    <cfRule type="expression" dxfId="2" priority="12" stopIfTrue="1">
      <formula>MOD(ROW(),4)&lt;2</formula>
    </cfRule>
  </conditionalFormatting>
  <conditionalFormatting sqref="E75:F75">
    <cfRule type="expression" dxfId="1" priority="3" stopIfTrue="1">
      <formula>MOD(ROW(),4)&gt;1</formula>
    </cfRule>
    <cfRule type="expression" dxfId="0" priority="4" stopIfTrue="1">
      <formula>MOD(ROW(),4)&lt;2</formula>
    </cfRule>
  </conditionalFormatting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6EE4F9-9885-4E00-9089-996AE45D2631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Land Analysis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Sherry Hickmott</dc:creator>
  <cp:lastModifiedBy>Sarah Osentoski</cp:lastModifiedBy>
  <dcterms:created xsi:type="dcterms:W3CDTF">2026-01-30T18:52:49Z</dcterms:created>
  <dcterms:modified xsi:type="dcterms:W3CDTF">2026-02-18T19:36:22Z</dcterms:modified>
</cp:coreProperties>
</file>