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 Assistant\Desktop\Assessing Files\2026\"/>
    </mc:Choice>
  </mc:AlternateContent>
  <xr:revisionPtr revIDLastSave="0" documentId="8_{571D22AB-82C0-4254-8835-3D3CF0C90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.C.F. Analysis" sheetId="2" r:id="rId1"/>
    <sheet name="Not Use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L11" i="2"/>
  <c r="M11" i="2"/>
  <c r="O11" i="2"/>
  <c r="P11" i="2" s="1"/>
  <c r="I16" i="2"/>
  <c r="L16" i="2"/>
  <c r="P16" i="2" s="1"/>
  <c r="M10" i="2"/>
  <c r="K10" i="2"/>
  <c r="K8" i="2"/>
  <c r="K5" i="2"/>
  <c r="K4" i="2"/>
  <c r="M8" i="2"/>
  <c r="M6" i="2"/>
  <c r="K6" i="2"/>
  <c r="M5" i="2"/>
  <c r="M4" i="2"/>
  <c r="N11" i="2" l="1"/>
  <c r="N16" i="2"/>
  <c r="I9" i="2"/>
  <c r="L9" i="2"/>
  <c r="N9" i="2" s="1"/>
  <c r="O4" i="2"/>
  <c r="P9" i="2" l="1"/>
  <c r="O10" i="2"/>
  <c r="L10" i="2"/>
  <c r="O6" i="2"/>
  <c r="O5" i="2"/>
  <c r="P10" i="2" l="1"/>
  <c r="N10" i="2"/>
  <c r="I10" i="2"/>
  <c r="L8" i="2" l="1"/>
  <c r="O8" i="2"/>
  <c r="H7" i="2"/>
  <c r="I7" i="2" l="1"/>
  <c r="L7" i="2"/>
  <c r="N7" i="2" l="1"/>
  <c r="P7" i="2"/>
  <c r="L4" i="2" l="1"/>
  <c r="P4" i="2" s="1"/>
  <c r="I4" i="2"/>
  <c r="N4" i="2" l="1"/>
  <c r="L5" i="2"/>
  <c r="I8" i="2"/>
  <c r="I5" i="2"/>
  <c r="P5" i="2" l="1"/>
  <c r="N5" i="2"/>
  <c r="P8" i="2"/>
  <c r="N8" i="2"/>
  <c r="I3" i="2"/>
  <c r="L3" i="2"/>
  <c r="P3" i="2" s="1"/>
  <c r="I6" i="2"/>
  <c r="L6" i="2"/>
  <c r="N6" i="2" s="1"/>
  <c r="N3" i="2" l="1"/>
  <c r="P6" i="2"/>
  <c r="R16" i="2" l="1"/>
  <c r="P12" i="2" l="1"/>
  <c r="N14" i="2"/>
  <c r="L12" i="2"/>
  <c r="I14" i="2"/>
  <c r="H12" i="2"/>
  <c r="J12" i="2"/>
  <c r="G12" i="2"/>
  <c r="M12" i="2"/>
  <c r="D12" i="2"/>
  <c r="R4" i="2" l="1"/>
  <c r="R11" i="2"/>
  <c r="I13" i="2"/>
  <c r="N13" i="2"/>
  <c r="R5" i="2"/>
  <c r="R10" i="2"/>
  <c r="R8" i="2"/>
  <c r="R6" i="2"/>
  <c r="R3" i="2"/>
  <c r="R9" i="2"/>
  <c r="R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Smith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Colleen Smith:</t>
        </r>
        <r>
          <rPr>
            <sz val="9"/>
            <color indexed="81"/>
            <rFont val="Tahoma"/>
            <family val="2"/>
          </rPr>
          <t xml:space="preserve">
split in 2020 to 0100-03/0100-04. No updates after 2020.
</t>
        </r>
      </text>
    </comment>
    <comment ref="A7" authorId="0" shapeId="0" xr:uid="{D6F327DA-06C6-4955-A449-9508DDE7BA78}">
      <text>
        <r>
          <rPr>
            <b/>
            <sz val="9"/>
            <color indexed="81"/>
            <rFont val="Tahoma"/>
            <family val="2"/>
          </rPr>
          <t>Colleen Smith:</t>
        </r>
        <r>
          <rPr>
            <sz val="9"/>
            <color indexed="81"/>
            <rFont val="Tahoma"/>
            <family val="2"/>
          </rPr>
          <t xml:space="preserve">
Frozen values - site has IFT going forward on building.</t>
        </r>
      </text>
    </comment>
    <comment ref="A9" authorId="0" shapeId="0" xr:uid="{6E5251FF-66AB-4BEB-B7CC-FA8BEAB5AB13}">
      <text>
        <r>
          <rPr>
            <b/>
            <sz val="9"/>
            <color indexed="81"/>
            <rFont val="Tahoma"/>
            <family val="2"/>
          </rPr>
          <t>Colleen Smith:</t>
        </r>
        <r>
          <rPr>
            <sz val="9"/>
            <color indexed="81"/>
            <rFont val="Tahoma"/>
            <family val="2"/>
          </rPr>
          <t xml:space="preserve">
Used record card from Assessor in 2022 - Frozen Values</t>
        </r>
      </text>
    </comment>
    <comment ref="A11" authorId="0" shapeId="0" xr:uid="{7503B8B8-EDE9-4C63-9D72-357E13DEFBFF}">
      <text>
        <r>
          <rPr>
            <b/>
            <sz val="9"/>
            <color indexed="81"/>
            <rFont val="Tahoma"/>
            <family val="2"/>
          </rPr>
          <t>Colleen Smith:</t>
        </r>
        <r>
          <rPr>
            <sz val="9"/>
            <color indexed="81"/>
            <rFont val="Tahoma"/>
            <family val="2"/>
          </rPr>
          <t xml:space="preserve">
parcel has IFT for 2023 - used assessor info from 2022 at the time of sale
</t>
        </r>
      </text>
    </comment>
  </commentList>
</comments>
</file>

<file path=xl/sharedStrings.xml><?xml version="1.0" encoding="utf-8"?>
<sst xmlns="http://schemas.openxmlformats.org/spreadsheetml/2006/main" count="136" uniqueCount="100">
  <si>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</si>
  <si>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</si>
  <si>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</si>
  <si>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</si>
  <si>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</si>
  <si>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</si>
  <si>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</si>
  <si>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</si>
  <si>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</si>
  <si>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</si>
  <si>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</si>
  <si>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</si>
  <si>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</si>
  <si>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</si>
  <si>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</si>
  <si>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</si>
  <si>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</si>
  <si>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</si>
  <si>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Other Parcels in Sale</t>
  </si>
  <si>
    <t>Land Table</t>
  </si>
  <si>
    <t>Property Class</t>
  </si>
  <si>
    <t>WD</t>
  </si>
  <si>
    <t>MULTI PAR ARM LENGTH</t>
  </si>
  <si>
    <t>INDUSTRIAL PROPS</t>
  </si>
  <si>
    <t>020-027-000-0100-02</t>
  </si>
  <si>
    <t>6556 OAK</t>
  </si>
  <si>
    <t>MLC</t>
  </si>
  <si>
    <t>ARMS LENGTH</t>
  </si>
  <si>
    <t>050-010-100-0500-00</t>
  </si>
  <si>
    <t>1111 S COLLING</t>
  </si>
  <si>
    <t>Totals:</t>
  </si>
  <si>
    <t>Sale. Ratio =&gt;</t>
  </si>
  <si>
    <t>E.C.F. =&gt;</t>
  </si>
  <si>
    <t>Std. Dev. =&gt;</t>
  </si>
  <si>
    <t>Ave. E.C.F. =&gt;</t>
  </si>
  <si>
    <t>020-015-000-5900-00</t>
  </si>
  <si>
    <t>4021 W SAGINAW</t>
  </si>
  <si>
    <t>LC</t>
  </si>
  <si>
    <t>006-004-000-1800-00</t>
  </si>
  <si>
    <t>1398 S BRADFORD</t>
  </si>
  <si>
    <t>035-033-000-4525-00</t>
  </si>
  <si>
    <t xml:space="preserve">4429 DOERR </t>
  </si>
  <si>
    <t>DATE</t>
  </si>
  <si>
    <t>PARCEL</t>
  </si>
  <si>
    <t>ADDRESS</t>
  </si>
  <si>
    <t>COMMENT*</t>
  </si>
  <si>
    <t>* If  comments = "no mkt info" see details on deed in "Not a Good Sale" folder.</t>
  </si>
  <si>
    <t>4260 DOERR</t>
  </si>
  <si>
    <t>035-033-000-1100-00, 035-033-000-1200-00</t>
  </si>
  <si>
    <t>035-033-000-1500-00</t>
  </si>
  <si>
    <t>5401 S GRAHAM</t>
  </si>
  <si>
    <t>Swan Creek Township</t>
  </si>
  <si>
    <t>26-11-3-20-1006-10</t>
  </si>
  <si>
    <t>L/P</t>
  </si>
  <si>
    <t>043-500-108-0700-00</t>
  </si>
  <si>
    <t>6586 CENTER</t>
  </si>
  <si>
    <t>050-500-126-1000-00</t>
  </si>
  <si>
    <t>603 E FRANK</t>
  </si>
  <si>
    <t>041-009-500-0400-00</t>
  </si>
  <si>
    <t>4600 Industrial Drive, Millington</t>
  </si>
  <si>
    <t>1542/665</t>
  </si>
  <si>
    <t>017-009-000-1700-05</t>
  </si>
  <si>
    <t>Ellis road, Millington</t>
  </si>
  <si>
    <t>1539/238</t>
  </si>
  <si>
    <t>017-009-000-1700-03</t>
  </si>
  <si>
    <t>Murphy Lake road</t>
  </si>
  <si>
    <t>1539/236</t>
  </si>
  <si>
    <t>CD -Grantee works for Grantor Subsidiary (includes parcel 017-009-000-1700-06)</t>
  </si>
  <si>
    <t>CD RES - Grantee works for Grantor Subsidiary (includes parcel 017-019-000-1700-04)</t>
  </si>
  <si>
    <t>MLC - Assignment Interest Deed/QC to Grantee</t>
  </si>
  <si>
    <t>VL Rayl Road, Akron</t>
  </si>
  <si>
    <t>1545/878</t>
  </si>
  <si>
    <t>020-024-000-1100-07</t>
  </si>
  <si>
    <t>VL Land Parcel G - Vassar</t>
  </si>
  <si>
    <t>Assumed MLC - Cannabis land</t>
  </si>
  <si>
    <t>1545/1074</t>
  </si>
  <si>
    <t>001-034-000-1500-04</t>
  </si>
  <si>
    <t>CD for Bulldog/DTE - No mkt info - split from 1500-01 - Classed AG for 2024</t>
  </si>
  <si>
    <t>043-036-000-1400-00</t>
  </si>
  <si>
    <t>Bay St, Unionville</t>
  </si>
  <si>
    <t>WD- ratio 11.83% - using for AG Purposes - has PA 260 applied for 2025.</t>
  </si>
  <si>
    <t>1554/765</t>
  </si>
  <si>
    <t>050-500-176-0200-00</t>
  </si>
  <si>
    <t>1341 Prospect Dr</t>
  </si>
  <si>
    <t>1564/192</t>
  </si>
  <si>
    <t>CWD - low ratio/no market/acquired three plants in Kinde/Caro/Saginaw - no data</t>
  </si>
  <si>
    <t>050-010-100-0300-00</t>
  </si>
  <si>
    <t>1075 S Colling Dr</t>
  </si>
  <si>
    <t>MLC - Did not return RPS - Grantee is a Cannabis Cultivaton real estate investor</t>
  </si>
  <si>
    <t>1560/1182</t>
  </si>
  <si>
    <t>020-026-000-1000-01</t>
  </si>
  <si>
    <t>6702 Sheridan Rd</t>
  </si>
  <si>
    <t xml:space="preserve">WD - Cannabis Sale </t>
  </si>
  <si>
    <t>Outliers</t>
  </si>
  <si>
    <t>Comments</t>
  </si>
  <si>
    <t>County Sale</t>
  </si>
  <si>
    <t>6702 SHERIDAN</t>
  </si>
  <si>
    <t>03-ARM'S LENGTH</t>
  </si>
  <si>
    <t>301</t>
  </si>
  <si>
    <t>INDUSTRIAL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</si>
</sst>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0" xfId="0" quotePrefix="1" applyAlignment="1">
      <alignment horizontal="right"/>
    </xf>
    <xf numFmtId="14" fontId="0" fillId="0" borderId="3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1" applyFont="1" applyFill="1"/>
    <xf numFmtId="166" fontId="3" fillId="5" borderId="0" xfId="0" applyNumberFormat="1" applyFont="1" applyFill="1"/>
    <xf numFmtId="49" fontId="0" fillId="0" borderId="0" xfId="0" quotePrefix="1" applyNumberFormat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7"/>
  <sheetViews>
    <sheetView tabSelected="1" zoomScaleNormal="100" workbookViewId="0">
      <selection activeCell="A18" sqref="A18:XFD18"/>
    </sheetView>
  </sheetViews>
  <sheetFormatPr defaultRowHeight="15" x14ac:dyDescent="0.25"/>
  <cols>
    <col min="1" max="1" width="20.5703125" bestFit="1" customWidth="1"/>
    <col min="2" max="2" width="16.5703125" bestFit="1" customWidth="1"/>
    <col min="3" max="3" width="9.28515625" style="18" bestFit="1" customWidth="1"/>
    <col min="4" max="4" width="10.85546875" style="8" bestFit="1" customWidth="1"/>
    <col min="5" max="5" width="5.5703125" bestFit="1" customWidth="1"/>
    <col min="6" max="6" width="22.7109375" bestFit="1" customWidth="1"/>
    <col min="7" max="7" width="10.85546875" style="8" bestFit="1" customWidth="1"/>
    <col min="8" max="8" width="14.7109375" style="8" bestFit="1" customWidth="1"/>
    <col min="9" max="9" width="12.85546875" style="13" bestFit="1" customWidth="1"/>
    <col min="10" max="10" width="13.42578125" style="8" bestFit="1" customWidth="1"/>
    <col min="11" max="11" width="11" style="8" bestFit="1" customWidth="1"/>
    <col min="12" max="12" width="13.5703125" style="8" bestFit="1" customWidth="1"/>
    <col min="13" max="13" width="12.7109375" style="8" bestFit="1" customWidth="1"/>
    <col min="14" max="14" width="7.7109375" style="23" bestFit="1" customWidth="1"/>
    <col min="15" max="15" width="10.140625" style="27" bestFit="1" customWidth="1"/>
    <col min="16" max="16" width="15.5703125" style="32" bestFit="1" customWidth="1"/>
    <col min="17" max="17" width="11.5703125" style="39" bestFit="1" customWidth="1"/>
    <col min="18" max="18" width="18.85546875" style="41" bestFit="1" customWidth="1"/>
    <col min="19" max="19" width="38.7109375" bestFit="1" customWidth="1"/>
    <col min="20" max="20" width="18" bestFit="1" customWidth="1"/>
    <col min="21" max="21" width="13.7109375" bestFit="1" customWidth="1"/>
    <col min="22" max="22" width="21.7109375" customWidth="1"/>
  </cols>
  <sheetData>
    <row r="1" spans="1:60" x14ac:dyDescent="0.25">
      <c r="A1" s="1"/>
    </row>
    <row r="2" spans="1:60" x14ac:dyDescent="0.25">
      <c r="A2" s="2" t="s">
        <v>0</v>
      </c>
      <c r="B2" s="2" t="s">
        <v>1</v>
      </c>
      <c r="C2" s="17" t="s">
        <v>2</v>
      </c>
      <c r="D2" s="7" t="s">
        <v>3</v>
      </c>
      <c r="E2" s="2" t="s">
        <v>4</v>
      </c>
      <c r="F2" s="2" t="s">
        <v>5</v>
      </c>
      <c r="G2" s="7" t="s">
        <v>6</v>
      </c>
      <c r="H2" s="7" t="s">
        <v>7</v>
      </c>
      <c r="I2" s="12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22" t="s">
        <v>13</v>
      </c>
      <c r="O2" s="26" t="s">
        <v>14</v>
      </c>
      <c r="P2" s="31" t="s">
        <v>15</v>
      </c>
      <c r="Q2" s="36" t="s">
        <v>16</v>
      </c>
      <c r="R2" s="40" t="s">
        <v>17</v>
      </c>
      <c r="S2" s="2" t="s">
        <v>18</v>
      </c>
      <c r="T2" s="2" t="s">
        <v>19</v>
      </c>
      <c r="U2" s="2" t="s">
        <v>20</v>
      </c>
      <c r="V2" s="2" t="s">
        <v>94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x14ac:dyDescent="0.25">
      <c r="A3" s="54" t="s">
        <v>24</v>
      </c>
      <c r="B3" t="s">
        <v>25</v>
      </c>
      <c r="C3" s="18">
        <v>43026</v>
      </c>
      <c r="D3" s="8">
        <v>148256</v>
      </c>
      <c r="E3" t="s">
        <v>26</v>
      </c>
      <c r="F3" t="s">
        <v>27</v>
      </c>
      <c r="G3" s="8">
        <v>148256</v>
      </c>
      <c r="H3" s="8">
        <v>144300</v>
      </c>
      <c r="I3" s="13">
        <f t="shared" ref="I3:I11" si="0">H3/G3*100</f>
        <v>97.331642564213254</v>
      </c>
      <c r="J3" s="8">
        <v>368048</v>
      </c>
      <c r="K3" s="8">
        <v>83322</v>
      </c>
      <c r="L3" s="8">
        <f t="shared" ref="L3:L11" si="1">G3-K3</f>
        <v>64934</v>
      </c>
      <c r="M3" s="8">
        <v>378124</v>
      </c>
      <c r="N3" s="23">
        <f t="shared" ref="N3:N11" si="2">L3/M3</f>
        <v>0.17172673514508469</v>
      </c>
      <c r="O3" s="27">
        <v>74400</v>
      </c>
      <c r="P3" s="32">
        <f t="shared" ref="P3:P11" si="3">L3/O3</f>
        <v>0.87276881720430111</v>
      </c>
      <c r="Q3" s="51">
        <v>302</v>
      </c>
      <c r="R3" s="41">
        <f>ABS(N14-N3)*100</f>
        <v>40.735733515876568</v>
      </c>
      <c r="T3" t="s">
        <v>23</v>
      </c>
      <c r="U3">
        <v>301</v>
      </c>
      <c r="V3" t="s">
        <v>95</v>
      </c>
    </row>
    <row r="4" spans="1:60" x14ac:dyDescent="0.25">
      <c r="A4" s="54" t="s">
        <v>40</v>
      </c>
      <c r="B4" t="s">
        <v>41</v>
      </c>
      <c r="C4" s="18">
        <v>45287</v>
      </c>
      <c r="D4" s="8">
        <v>160000</v>
      </c>
      <c r="E4" t="s">
        <v>21</v>
      </c>
      <c r="F4" t="s">
        <v>27</v>
      </c>
      <c r="G4" s="8">
        <v>160000</v>
      </c>
      <c r="H4" s="8">
        <v>53100</v>
      </c>
      <c r="I4" s="13">
        <f t="shared" si="0"/>
        <v>33.1875</v>
      </c>
      <c r="J4" s="8">
        <v>162059</v>
      </c>
      <c r="K4" s="8">
        <f>9265+7801</f>
        <v>17066</v>
      </c>
      <c r="L4" s="8">
        <f t="shared" si="1"/>
        <v>142934</v>
      </c>
      <c r="M4" s="8">
        <f>109392+154230</f>
        <v>263622</v>
      </c>
      <c r="N4" s="23">
        <f t="shared" si="2"/>
        <v>0.5421929884455774</v>
      </c>
      <c r="O4" s="27">
        <f>3200+4000</f>
        <v>7200</v>
      </c>
      <c r="P4" s="32">
        <f t="shared" si="3"/>
        <v>19.851944444444445</v>
      </c>
      <c r="Q4" s="51">
        <v>301</v>
      </c>
      <c r="R4" s="41">
        <f>ABS(N14-N4)*100</f>
        <v>3.6891081858272945</v>
      </c>
      <c r="T4" t="s">
        <v>23</v>
      </c>
      <c r="U4">
        <v>301</v>
      </c>
      <c r="V4" t="s">
        <v>95</v>
      </c>
    </row>
    <row r="5" spans="1:60" x14ac:dyDescent="0.25">
      <c r="A5" s="54" t="s">
        <v>38</v>
      </c>
      <c r="B5" t="s">
        <v>39</v>
      </c>
      <c r="C5" s="18">
        <v>43707</v>
      </c>
      <c r="D5" s="8">
        <v>81900</v>
      </c>
      <c r="E5" t="s">
        <v>21</v>
      </c>
      <c r="F5" t="s">
        <v>27</v>
      </c>
      <c r="G5" s="8">
        <v>81900</v>
      </c>
      <c r="H5" s="8">
        <v>41400</v>
      </c>
      <c r="I5" s="13">
        <f t="shared" si="0"/>
        <v>50.549450549450547</v>
      </c>
      <c r="J5" s="8">
        <v>92833</v>
      </c>
      <c r="K5" s="8">
        <f>11844+2849</f>
        <v>14693</v>
      </c>
      <c r="L5" s="8">
        <f t="shared" si="1"/>
        <v>67207</v>
      </c>
      <c r="M5" s="8">
        <f>29709+19654+54824</f>
        <v>104187</v>
      </c>
      <c r="N5" s="23">
        <f t="shared" si="2"/>
        <v>0.64506128403735585</v>
      </c>
      <c r="O5" s="27">
        <f>2360+1500+7832</f>
        <v>11692</v>
      </c>
      <c r="P5" s="32">
        <f t="shared" si="3"/>
        <v>5.7481183715360933</v>
      </c>
      <c r="Q5" s="51">
        <v>302</v>
      </c>
      <c r="R5" s="41">
        <f>ABS(N14-N5)*100</f>
        <v>6.5977213733505513</v>
      </c>
      <c r="T5" t="s">
        <v>23</v>
      </c>
      <c r="U5">
        <v>301</v>
      </c>
      <c r="V5" t="s">
        <v>95</v>
      </c>
    </row>
    <row r="6" spans="1:60" x14ac:dyDescent="0.25">
      <c r="A6" s="54" t="s">
        <v>28</v>
      </c>
      <c r="B6" t="s">
        <v>29</v>
      </c>
      <c r="C6" s="18">
        <v>43504</v>
      </c>
      <c r="D6" s="8">
        <v>750000</v>
      </c>
      <c r="E6" t="s">
        <v>21</v>
      </c>
      <c r="F6" t="s">
        <v>27</v>
      </c>
      <c r="G6" s="8">
        <v>750000</v>
      </c>
      <c r="H6" s="8">
        <v>93000</v>
      </c>
      <c r="I6" s="13">
        <f>H6/G6*100</f>
        <v>12.4</v>
      </c>
      <c r="J6" s="8">
        <v>564637</v>
      </c>
      <c r="K6" s="8">
        <f>78415+61186</f>
        <v>139601</v>
      </c>
      <c r="L6" s="8">
        <f>G6-K6</f>
        <v>610399</v>
      </c>
      <c r="M6" s="8">
        <f>410521+136949+14683+4563</f>
        <v>566716</v>
      </c>
      <c r="N6" s="23">
        <f>L6/M6</f>
        <v>1.0770809364831768</v>
      </c>
      <c r="O6" s="27">
        <f>43600+11300+600+512</f>
        <v>56012</v>
      </c>
      <c r="P6" s="32">
        <f>L6/O6</f>
        <v>10.897646932800114</v>
      </c>
      <c r="Q6" s="51">
        <v>302</v>
      </c>
      <c r="R6" s="41">
        <f>ABS(N14-N6)*100</f>
        <v>49.79968661793265</v>
      </c>
      <c r="T6" t="s">
        <v>23</v>
      </c>
      <c r="U6">
        <v>301</v>
      </c>
      <c r="V6" t="s">
        <v>95</v>
      </c>
    </row>
    <row r="7" spans="1:60" x14ac:dyDescent="0.25">
      <c r="A7" s="54" t="s">
        <v>49</v>
      </c>
      <c r="B7" t="s">
        <v>47</v>
      </c>
      <c r="C7" s="18">
        <v>44166</v>
      </c>
      <c r="D7" s="8">
        <v>412000</v>
      </c>
      <c r="E7" t="s">
        <v>21</v>
      </c>
      <c r="F7" t="s">
        <v>22</v>
      </c>
      <c r="G7" s="8">
        <v>412000</v>
      </c>
      <c r="H7" s="8">
        <f>131700+24500+4500</f>
        <v>160700</v>
      </c>
      <c r="I7" s="13">
        <f t="shared" si="0"/>
        <v>39.004854368932044</v>
      </c>
      <c r="J7" s="8">
        <v>445879</v>
      </c>
      <c r="K7" s="8">
        <v>78294</v>
      </c>
      <c r="L7" s="8">
        <f t="shared" si="1"/>
        <v>333706</v>
      </c>
      <c r="M7" s="8">
        <v>792209</v>
      </c>
      <c r="N7" s="23">
        <f t="shared" si="2"/>
        <v>0.42123480041251743</v>
      </c>
      <c r="O7" s="27">
        <v>22327</v>
      </c>
      <c r="P7" s="32">
        <f t="shared" si="3"/>
        <v>14.94629820396829</v>
      </c>
      <c r="Q7" s="51">
        <v>301</v>
      </c>
      <c r="R7" s="41">
        <f>ABS(N14-N7)*100</f>
        <v>15.784926989133291</v>
      </c>
      <c r="S7" t="s">
        <v>48</v>
      </c>
      <c r="T7" t="s">
        <v>23</v>
      </c>
      <c r="U7">
        <v>301</v>
      </c>
      <c r="V7" t="s">
        <v>95</v>
      </c>
    </row>
    <row r="8" spans="1:60" x14ac:dyDescent="0.25">
      <c r="A8" s="54" t="s">
        <v>35</v>
      </c>
      <c r="B8" t="s">
        <v>36</v>
      </c>
      <c r="C8" s="18">
        <v>42461</v>
      </c>
      <c r="D8" s="8">
        <v>245000</v>
      </c>
      <c r="E8" t="s">
        <v>37</v>
      </c>
      <c r="F8" t="s">
        <v>27</v>
      </c>
      <c r="G8" s="8">
        <v>245000</v>
      </c>
      <c r="H8" s="8">
        <v>74300</v>
      </c>
      <c r="I8" s="13">
        <f t="shared" si="0"/>
        <v>30.326530612244895</v>
      </c>
      <c r="J8" s="8">
        <v>293746</v>
      </c>
      <c r="K8" s="8">
        <f>49885+1821</f>
        <v>51706</v>
      </c>
      <c r="L8" s="8">
        <f t="shared" si="1"/>
        <v>193294</v>
      </c>
      <c r="M8" s="8">
        <f>437465+2607</f>
        <v>440072</v>
      </c>
      <c r="N8" s="23">
        <f t="shared" si="2"/>
        <v>0.43923267101746988</v>
      </c>
      <c r="O8" s="27">
        <f>20558+180</f>
        <v>20738</v>
      </c>
      <c r="P8" s="32">
        <f t="shared" si="3"/>
        <v>9.3207638152184398</v>
      </c>
      <c r="Q8" s="51">
        <v>301</v>
      </c>
      <c r="R8" s="41">
        <f>ABS(N14-N8)*100</f>
        <v>13.985139928638047</v>
      </c>
      <c r="T8" t="s">
        <v>23</v>
      </c>
      <c r="U8">
        <v>301</v>
      </c>
      <c r="V8" t="s">
        <v>95</v>
      </c>
    </row>
    <row r="9" spans="1:60" x14ac:dyDescent="0.25">
      <c r="A9" s="54" t="s">
        <v>52</v>
      </c>
      <c r="B9" t="s">
        <v>50</v>
      </c>
      <c r="C9" s="18">
        <v>44620</v>
      </c>
      <c r="D9" s="8">
        <v>1200000</v>
      </c>
      <c r="E9" t="s">
        <v>21</v>
      </c>
      <c r="F9" t="s">
        <v>27</v>
      </c>
      <c r="G9" s="8">
        <v>1200000</v>
      </c>
      <c r="H9" s="8">
        <v>490700</v>
      </c>
      <c r="I9" s="13">
        <f t="shared" si="0"/>
        <v>40.891666666666666</v>
      </c>
      <c r="J9" s="8">
        <v>976938</v>
      </c>
      <c r="K9" s="8">
        <v>54168</v>
      </c>
      <c r="L9" s="8">
        <f t="shared" si="1"/>
        <v>1145832</v>
      </c>
      <c r="M9" s="8">
        <v>1377269</v>
      </c>
      <c r="N9" s="23">
        <f t="shared" si="2"/>
        <v>0.8319594792302738</v>
      </c>
      <c r="O9" s="27">
        <v>48550</v>
      </c>
      <c r="P9" s="32">
        <f t="shared" si="3"/>
        <v>23.601071060762102</v>
      </c>
      <c r="Q9" s="51">
        <v>302</v>
      </c>
      <c r="R9" s="41">
        <f>ABS(N14-N9)*100</f>
        <v>25.287540892642348</v>
      </c>
      <c r="S9" t="s">
        <v>51</v>
      </c>
      <c r="T9" t="s">
        <v>23</v>
      </c>
      <c r="U9">
        <v>301</v>
      </c>
      <c r="V9" t="s">
        <v>95</v>
      </c>
    </row>
    <row r="10" spans="1:60" x14ac:dyDescent="0.25">
      <c r="A10" s="54" t="s">
        <v>54</v>
      </c>
      <c r="B10" t="s">
        <v>55</v>
      </c>
      <c r="C10" s="18">
        <v>44860</v>
      </c>
      <c r="D10" s="8">
        <v>70000</v>
      </c>
      <c r="E10" t="s">
        <v>21</v>
      </c>
      <c r="F10" t="s">
        <v>27</v>
      </c>
      <c r="G10" s="8">
        <v>70000</v>
      </c>
      <c r="H10" s="8">
        <v>49300</v>
      </c>
      <c r="I10" s="13">
        <f t="shared" si="0"/>
        <v>70.428571428571431</v>
      </c>
      <c r="J10" s="8">
        <v>82948</v>
      </c>
      <c r="K10" s="8">
        <f>9682+10762</f>
        <v>20444</v>
      </c>
      <c r="L10" s="8">
        <f t="shared" si="1"/>
        <v>49556</v>
      </c>
      <c r="M10" s="8">
        <f>101108+12537</f>
        <v>113645</v>
      </c>
      <c r="N10" s="23">
        <f t="shared" si="2"/>
        <v>0.4360596594658806</v>
      </c>
      <c r="O10" s="27">
        <f>846+2616</f>
        <v>3462</v>
      </c>
      <c r="P10" s="32">
        <f t="shared" si="3"/>
        <v>14.314269208549971</v>
      </c>
      <c r="Q10" s="51">
        <v>301</v>
      </c>
      <c r="R10" s="41">
        <f>ABS(N14-N10)*100</f>
        <v>14.302441083796975</v>
      </c>
      <c r="T10" t="s">
        <v>23</v>
      </c>
      <c r="U10">
        <v>301</v>
      </c>
      <c r="V10" t="s">
        <v>95</v>
      </c>
    </row>
    <row r="11" spans="1:60" ht="15.75" thickBot="1" x14ac:dyDescent="0.3">
      <c r="A11" s="54" t="s">
        <v>56</v>
      </c>
      <c r="B11" t="s">
        <v>57</v>
      </c>
      <c r="C11" s="18">
        <v>44819</v>
      </c>
      <c r="D11" s="8">
        <v>350000</v>
      </c>
      <c r="E11" t="s">
        <v>21</v>
      </c>
      <c r="F11" t="s">
        <v>27</v>
      </c>
      <c r="G11" s="8">
        <v>350000</v>
      </c>
      <c r="H11" s="8">
        <v>131000</v>
      </c>
      <c r="I11" s="13">
        <f t="shared" si="0"/>
        <v>37.428571428571431</v>
      </c>
      <c r="J11" s="8">
        <v>262273</v>
      </c>
      <c r="K11" s="8">
        <v>46717</v>
      </c>
      <c r="L11" s="8">
        <f t="shared" si="1"/>
        <v>303283</v>
      </c>
      <c r="M11" s="8">
        <f>249977+70065+59038+89522</f>
        <v>468602</v>
      </c>
      <c r="N11" s="23">
        <f t="shared" si="2"/>
        <v>0.64720807849731754</v>
      </c>
      <c r="O11" s="27">
        <f>7932+1800+1360+3120</f>
        <v>14212</v>
      </c>
      <c r="P11" s="32">
        <f t="shared" si="3"/>
        <v>21.339924007880665</v>
      </c>
      <c r="Q11" s="51">
        <v>302</v>
      </c>
      <c r="R11" s="41">
        <f>ABS(N14-N11)*100</f>
        <v>6.8124008193467205</v>
      </c>
      <c r="T11" t="s">
        <v>23</v>
      </c>
      <c r="U11">
        <v>301</v>
      </c>
      <c r="V11" t="s">
        <v>95</v>
      </c>
    </row>
    <row r="12" spans="1:60" ht="15.75" thickTop="1" x14ac:dyDescent="0.25">
      <c r="A12" s="4"/>
      <c r="B12" s="4"/>
      <c r="C12" s="19" t="s">
        <v>30</v>
      </c>
      <c r="D12" s="9">
        <f>+SUM(D3:D11)</f>
        <v>3417156</v>
      </c>
      <c r="E12" s="4"/>
      <c r="F12" s="4"/>
      <c r="G12" s="9">
        <f>+SUM(G3:G11)</f>
        <v>3417156</v>
      </c>
      <c r="H12" s="9">
        <f>+SUM(H3:H11)</f>
        <v>1237800</v>
      </c>
      <c r="I12" s="14"/>
      <c r="J12" s="9">
        <f>+SUM(J3:J11)</f>
        <v>3249361</v>
      </c>
      <c r="K12" s="9"/>
      <c r="L12" s="9">
        <f>+SUM(L3:L11)</f>
        <v>2911145</v>
      </c>
      <c r="M12" s="9">
        <f>+SUM(M3:M11)</f>
        <v>4504446</v>
      </c>
      <c r="N12" s="24"/>
      <c r="O12" s="28"/>
      <c r="P12" s="33">
        <f>AVERAGE(P3:P11)</f>
        <v>13.432533873596048</v>
      </c>
      <c r="Q12" s="37"/>
      <c r="R12" s="42"/>
      <c r="S12" s="4"/>
      <c r="T12" s="4"/>
      <c r="U12" s="4"/>
      <c r="V12" s="4"/>
    </row>
    <row r="13" spans="1:60" x14ac:dyDescent="0.25">
      <c r="A13" s="5"/>
      <c r="B13" s="5"/>
      <c r="C13" s="20"/>
      <c r="D13" s="10"/>
      <c r="E13" s="5"/>
      <c r="F13" s="5"/>
      <c r="G13" s="10"/>
      <c r="H13" s="10" t="s">
        <v>31</v>
      </c>
      <c r="I13" s="15">
        <f>H12/G12*100</f>
        <v>36.223104827523237</v>
      </c>
      <c r="J13" s="10"/>
      <c r="K13" s="10"/>
      <c r="L13" s="10"/>
      <c r="M13" s="10" t="s">
        <v>32</v>
      </c>
      <c r="N13" s="55">
        <f>L12/M12</f>
        <v>0.64628258391819993</v>
      </c>
      <c r="O13" s="29"/>
      <c r="P13" s="34"/>
      <c r="Q13" s="38"/>
      <c r="R13" s="43"/>
      <c r="S13" s="5"/>
      <c r="T13" s="5"/>
      <c r="U13" s="5"/>
      <c r="V13" s="5"/>
    </row>
    <row r="14" spans="1:60" x14ac:dyDescent="0.25">
      <c r="A14" s="6"/>
      <c r="B14" s="6"/>
      <c r="C14" s="21"/>
      <c r="D14" s="11"/>
      <c r="E14" s="6"/>
      <c r="F14" s="6"/>
      <c r="G14" s="11"/>
      <c r="H14" s="11" t="s">
        <v>33</v>
      </c>
      <c r="I14" s="16">
        <f>STDEV(I3:I11)</f>
        <v>24.847024078597148</v>
      </c>
      <c r="J14" s="11"/>
      <c r="K14" s="11"/>
      <c r="L14" s="11"/>
      <c r="M14" s="11" t="s">
        <v>34</v>
      </c>
      <c r="N14" s="25">
        <f>AVERAGE(N3:N11)</f>
        <v>0.57908407030385034</v>
      </c>
      <c r="O14" s="30"/>
      <c r="P14" s="35"/>
      <c r="Q14" s="45"/>
      <c r="R14" s="44"/>
      <c r="S14" s="6"/>
      <c r="T14" s="6"/>
      <c r="U14" s="6"/>
      <c r="V14" s="6"/>
    </row>
    <row r="15" spans="1:60" x14ac:dyDescent="0.25">
      <c r="A15" t="s">
        <v>93</v>
      </c>
    </row>
    <row r="16" spans="1:60" x14ac:dyDescent="0.25">
      <c r="A16" t="s">
        <v>24</v>
      </c>
      <c r="B16" t="s">
        <v>25</v>
      </c>
      <c r="C16" s="18">
        <v>43026</v>
      </c>
      <c r="D16" s="8">
        <v>148256</v>
      </c>
      <c r="E16" t="s">
        <v>26</v>
      </c>
      <c r="F16" t="s">
        <v>27</v>
      </c>
      <c r="G16" s="8">
        <v>148256</v>
      </c>
      <c r="H16" s="8">
        <v>144300</v>
      </c>
      <c r="I16" s="13">
        <f>H16/G16*100</f>
        <v>97.331642564213254</v>
      </c>
      <c r="J16" s="8">
        <v>368048</v>
      </c>
      <c r="K16" s="8">
        <v>83322</v>
      </c>
      <c r="L16" s="8">
        <f>G16-K16</f>
        <v>64934</v>
      </c>
      <c r="M16" s="8">
        <v>378124</v>
      </c>
      <c r="N16" s="23">
        <f>L16/M16</f>
        <v>0.17172673514508469</v>
      </c>
      <c r="O16" s="27">
        <v>74400</v>
      </c>
      <c r="P16" s="32">
        <f>L16/O16</f>
        <v>0.87276881720430111</v>
      </c>
      <c r="Q16" s="51">
        <v>302</v>
      </c>
      <c r="R16" s="41" t="e">
        <f>ABS(#REF!-N16)*100</f>
        <v>#REF!</v>
      </c>
      <c r="T16" t="s">
        <v>23</v>
      </c>
      <c r="U16">
        <v>301</v>
      </c>
    </row>
    <row r="17" spans="1:39" x14ac:dyDescent="0.25">
      <c r="A17" t="s">
        <v>90</v>
      </c>
      <c r="B17" t="s">
        <v>96</v>
      </c>
      <c r="C17" s="18">
        <v>45698</v>
      </c>
      <c r="D17" s="8">
        <v>2200000</v>
      </c>
      <c r="E17" t="s">
        <v>21</v>
      </c>
      <c r="F17" t="s">
        <v>97</v>
      </c>
      <c r="G17" s="8">
        <v>2200000</v>
      </c>
      <c r="H17" s="8">
        <v>129900</v>
      </c>
      <c r="I17" s="13">
        <v>5.9045454545454543</v>
      </c>
      <c r="J17" s="8">
        <v>252750</v>
      </c>
      <c r="K17" s="8">
        <v>33377</v>
      </c>
      <c r="L17" s="8">
        <v>2166623</v>
      </c>
      <c r="M17" s="8">
        <v>266877.12894999998</v>
      </c>
      <c r="N17" s="23">
        <v>8.1184289134267544</v>
      </c>
      <c r="O17" s="27">
        <v>6400</v>
      </c>
      <c r="P17" s="32">
        <v>338.53484374999999</v>
      </c>
      <c r="Q17" s="56" t="s">
        <v>98</v>
      </c>
      <c r="R17" s="41">
        <v>0</v>
      </c>
      <c r="T17" t="s">
        <v>99</v>
      </c>
      <c r="U17">
        <v>301</v>
      </c>
      <c r="AK17" s="3"/>
      <c r="AM17" s="3"/>
    </row>
  </sheetData>
  <sheetProtection algorithmName="SHA-512" hashValue="X7LUy29bs63aFnmYvM61MvSJSbgFhgIGcFOOzbVKLMF8cSmqUQxxHrOwnIatV/+u68LFNl9uY/tWmQlNcs0wDw==" saltValue="JWoPwJ2iPSh3MkPFITPb2g==" spinCount="100000" sheet="1" objects="1" scenarios="1" selectLockedCells="1" selectUnlockedCells="1"/>
  <pageMargins left="0.25" right="0.25" top="0.75" bottom="0.75" header="0.3" footer="0.3"/>
  <pageSetup scale="4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workbookViewId="0">
      <selection activeCell="A10" sqref="A10"/>
    </sheetView>
  </sheetViews>
  <sheetFormatPr defaultRowHeight="15" x14ac:dyDescent="0.25"/>
  <cols>
    <col min="1" max="1" width="11.7109375" style="3" customWidth="1"/>
    <col min="2" max="2" width="19.140625" style="3" bestFit="1" customWidth="1"/>
    <col min="3" max="3" width="28.7109375" style="46" bestFit="1" customWidth="1"/>
    <col min="4" max="4" width="76.85546875" style="46" bestFit="1" customWidth="1"/>
    <col min="5" max="5" width="9.85546875" style="3" bestFit="1" customWidth="1"/>
  </cols>
  <sheetData>
    <row r="1" spans="1:6" x14ac:dyDescent="0.25">
      <c r="A1" s="47" t="s">
        <v>42</v>
      </c>
      <c r="B1" s="47" t="s">
        <v>43</v>
      </c>
      <c r="C1" s="47" t="s">
        <v>44</v>
      </c>
      <c r="D1" s="47" t="s">
        <v>45</v>
      </c>
      <c r="E1" s="47" t="s">
        <v>53</v>
      </c>
    </row>
    <row r="2" spans="1:6" x14ac:dyDescent="0.25">
      <c r="A2" s="52">
        <v>45177</v>
      </c>
      <c r="B2" s="47" t="s">
        <v>61</v>
      </c>
      <c r="C2" s="48" t="s">
        <v>62</v>
      </c>
      <c r="D2" s="48" t="s">
        <v>67</v>
      </c>
      <c r="E2" s="47" t="s">
        <v>63</v>
      </c>
    </row>
    <row r="3" spans="1:6" x14ac:dyDescent="0.25">
      <c r="A3" s="52">
        <v>45177</v>
      </c>
      <c r="B3" s="47" t="s">
        <v>64</v>
      </c>
      <c r="C3" s="48" t="s">
        <v>65</v>
      </c>
      <c r="D3" s="50" t="s">
        <v>68</v>
      </c>
      <c r="E3" s="47" t="s">
        <v>66</v>
      </c>
    </row>
    <row r="4" spans="1:6" x14ac:dyDescent="0.25">
      <c r="A4" s="52">
        <v>45236</v>
      </c>
      <c r="B4" s="47" t="s">
        <v>58</v>
      </c>
      <c r="C4" s="48" t="s">
        <v>59</v>
      </c>
      <c r="D4" s="50" t="s">
        <v>69</v>
      </c>
      <c r="E4" s="47" t="s">
        <v>60</v>
      </c>
    </row>
    <row r="5" spans="1:6" x14ac:dyDescent="0.25">
      <c r="A5" s="52">
        <v>45307</v>
      </c>
      <c r="B5" s="47" t="s">
        <v>76</v>
      </c>
      <c r="C5" s="48" t="s">
        <v>70</v>
      </c>
      <c r="D5" s="50" t="s">
        <v>77</v>
      </c>
      <c r="E5" s="47" t="s">
        <v>71</v>
      </c>
    </row>
    <row r="6" spans="1:6" x14ac:dyDescent="0.25">
      <c r="A6" s="52">
        <v>45307</v>
      </c>
      <c r="B6" s="47" t="s">
        <v>72</v>
      </c>
      <c r="C6" s="48" t="s">
        <v>73</v>
      </c>
      <c r="D6" s="50" t="s">
        <v>74</v>
      </c>
      <c r="E6" s="47" t="s">
        <v>75</v>
      </c>
    </row>
    <row r="7" spans="1:6" x14ac:dyDescent="0.25">
      <c r="A7" s="52">
        <v>45471</v>
      </c>
      <c r="B7" s="47" t="s">
        <v>78</v>
      </c>
      <c r="C7" s="48" t="s">
        <v>79</v>
      </c>
      <c r="D7" s="50" t="s">
        <v>80</v>
      </c>
      <c r="E7" s="47" t="s">
        <v>81</v>
      </c>
      <c r="F7" s="49"/>
    </row>
    <row r="8" spans="1:6" x14ac:dyDescent="0.25">
      <c r="A8" s="52">
        <v>45573</v>
      </c>
      <c r="B8" s="47" t="s">
        <v>86</v>
      </c>
      <c r="C8" s="48" t="s">
        <v>87</v>
      </c>
      <c r="D8" s="50" t="s">
        <v>88</v>
      </c>
      <c r="E8" s="47" t="s">
        <v>89</v>
      </c>
      <c r="F8" s="46"/>
    </row>
    <row r="9" spans="1:6" x14ac:dyDescent="0.25">
      <c r="A9" s="52">
        <v>45618</v>
      </c>
      <c r="B9" s="47" t="s">
        <v>82</v>
      </c>
      <c r="C9" s="48" t="s">
        <v>83</v>
      </c>
      <c r="D9" s="50" t="s">
        <v>85</v>
      </c>
      <c r="E9" s="47" t="s">
        <v>84</v>
      </c>
    </row>
    <row r="10" spans="1:6" x14ac:dyDescent="0.25">
      <c r="A10" s="52">
        <v>45698</v>
      </c>
      <c r="B10" s="47" t="s">
        <v>90</v>
      </c>
      <c r="C10" s="48" t="s">
        <v>91</v>
      </c>
      <c r="D10" s="50" t="s">
        <v>92</v>
      </c>
      <c r="E10" s="47"/>
    </row>
    <row r="11" spans="1:6" x14ac:dyDescent="0.25">
      <c r="A11" s="52"/>
      <c r="B11" s="47"/>
      <c r="C11" s="48"/>
      <c r="D11" s="48"/>
      <c r="E11" s="47"/>
    </row>
    <row r="12" spans="1:6" x14ac:dyDescent="0.25">
      <c r="A12" s="52"/>
      <c r="B12" s="47"/>
      <c r="C12" s="48"/>
      <c r="D12" s="48"/>
      <c r="E12" s="47"/>
    </row>
    <row r="13" spans="1:6" x14ac:dyDescent="0.25">
      <c r="A13" s="52"/>
      <c r="B13" s="47"/>
      <c r="C13" s="48"/>
      <c r="D13" s="48"/>
      <c r="E13" s="47"/>
    </row>
    <row r="14" spans="1:6" x14ac:dyDescent="0.25">
      <c r="A14" s="52"/>
      <c r="B14" s="47"/>
      <c r="C14" s="48"/>
      <c r="D14" s="48"/>
      <c r="E14" s="47"/>
    </row>
    <row r="15" spans="1:6" x14ac:dyDescent="0.25">
      <c r="A15" s="52"/>
      <c r="B15" s="47"/>
      <c r="C15" s="48"/>
      <c r="D15" s="48"/>
      <c r="E15" s="47"/>
    </row>
    <row r="16" spans="1:6" x14ac:dyDescent="0.25">
      <c r="A16" s="52"/>
      <c r="B16" s="47"/>
      <c r="C16" s="48"/>
      <c r="D16" s="48"/>
      <c r="E16" s="47"/>
    </row>
    <row r="17" spans="1:5" x14ac:dyDescent="0.25">
      <c r="A17" s="52"/>
      <c r="B17" s="47"/>
      <c r="C17" s="48"/>
      <c r="D17" s="48"/>
      <c r="E17" s="47"/>
    </row>
    <row r="18" spans="1:5" x14ac:dyDescent="0.25">
      <c r="A18" s="52"/>
      <c r="B18" s="47"/>
      <c r="C18" s="48"/>
      <c r="D18" s="48"/>
      <c r="E18" s="47"/>
    </row>
    <row r="19" spans="1:5" x14ac:dyDescent="0.25">
      <c r="A19" s="52"/>
      <c r="B19" s="47"/>
      <c r="C19" s="48"/>
      <c r="D19" s="48"/>
      <c r="E19" s="47"/>
    </row>
    <row r="20" spans="1:5" x14ac:dyDescent="0.25">
      <c r="A20" s="52"/>
      <c r="B20" s="47"/>
      <c r="C20" s="48"/>
      <c r="D20" s="48"/>
      <c r="E20" s="47"/>
    </row>
    <row r="21" spans="1:5" x14ac:dyDescent="0.25">
      <c r="A21" s="52"/>
      <c r="B21" s="47"/>
      <c r="C21" s="48"/>
      <c r="D21" s="48"/>
      <c r="E21" s="47"/>
    </row>
    <row r="22" spans="1:5" x14ac:dyDescent="0.25">
      <c r="A22" s="52"/>
      <c r="B22" s="47"/>
      <c r="C22" s="48"/>
      <c r="D22" s="48"/>
      <c r="E22" s="47"/>
    </row>
    <row r="23" spans="1:5" x14ac:dyDescent="0.25">
      <c r="A23" s="52"/>
      <c r="B23" s="47"/>
      <c r="C23" s="48"/>
      <c r="D23" s="48"/>
      <c r="E23" s="47"/>
    </row>
    <row r="24" spans="1:5" x14ac:dyDescent="0.25">
      <c r="A24" s="52"/>
      <c r="B24" s="47"/>
      <c r="C24" s="48"/>
      <c r="D24" s="48"/>
      <c r="E24" s="47"/>
    </row>
    <row r="25" spans="1:5" x14ac:dyDescent="0.25">
      <c r="A25" s="52"/>
      <c r="B25" s="47"/>
      <c r="C25" s="48"/>
      <c r="D25" s="48"/>
      <c r="E25" s="47"/>
    </row>
    <row r="26" spans="1:5" x14ac:dyDescent="0.25">
      <c r="A26" s="52"/>
      <c r="B26" s="47"/>
      <c r="C26" s="48"/>
      <c r="D26" s="48"/>
      <c r="E26" s="47"/>
    </row>
    <row r="27" spans="1:5" x14ac:dyDescent="0.25">
      <c r="A27" s="52"/>
      <c r="B27" s="47"/>
      <c r="C27" s="48"/>
      <c r="D27" s="48"/>
      <c r="E27" s="47"/>
    </row>
    <row r="28" spans="1:5" x14ac:dyDescent="0.25">
      <c r="A28" s="52"/>
      <c r="B28" s="47"/>
      <c r="C28" s="48"/>
      <c r="D28" s="48"/>
      <c r="E28" s="47"/>
    </row>
    <row r="29" spans="1:5" x14ac:dyDescent="0.25">
      <c r="A29" s="52"/>
      <c r="B29" s="47"/>
      <c r="C29" s="48"/>
      <c r="D29" s="48"/>
      <c r="E29" s="47"/>
    </row>
    <row r="30" spans="1:5" x14ac:dyDescent="0.25">
      <c r="A30" s="52"/>
      <c r="B30" s="47"/>
      <c r="C30" s="48"/>
      <c r="D30" s="48"/>
      <c r="E30" s="47"/>
    </row>
    <row r="31" spans="1:5" x14ac:dyDescent="0.25">
      <c r="A31" s="52"/>
      <c r="B31" s="47"/>
      <c r="C31" s="48"/>
      <c r="D31" s="48"/>
      <c r="E31" s="47"/>
    </row>
    <row r="32" spans="1:5" x14ac:dyDescent="0.25">
      <c r="A32" s="52"/>
      <c r="B32" s="47"/>
      <c r="C32" s="48"/>
      <c r="D32" s="48"/>
      <c r="E32" s="47"/>
    </row>
    <row r="33" spans="1:1" x14ac:dyDescent="0.25">
      <c r="A33" s="53"/>
    </row>
    <row r="34" spans="1:1" x14ac:dyDescent="0.25">
      <c r="A34" s="53"/>
    </row>
    <row r="35" spans="1:1" x14ac:dyDescent="0.25">
      <c r="A35" s="53"/>
    </row>
    <row r="36" spans="1:1" x14ac:dyDescent="0.25">
      <c r="A36" s="53"/>
    </row>
    <row r="37" spans="1:1" x14ac:dyDescent="0.25">
      <c r="A37" s="53"/>
    </row>
    <row r="38" spans="1:1" x14ac:dyDescent="0.25">
      <c r="A38" s="53"/>
    </row>
    <row r="39" spans="1:1" x14ac:dyDescent="0.25">
      <c r="A39" s="53"/>
    </row>
    <row r="40" spans="1:1" x14ac:dyDescent="0.25">
      <c r="A40" s="53"/>
    </row>
    <row r="41" spans="1:1" x14ac:dyDescent="0.25">
      <c r="A41" s="53"/>
    </row>
    <row r="49" spans="1:1" x14ac:dyDescent="0.25">
      <c r="A49" s="3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Not 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Daniels</dc:creator>
  <cp:lastModifiedBy>Sarah Osentoski</cp:lastModifiedBy>
  <cp:lastPrinted>2023-11-28T15:18:39Z</cp:lastPrinted>
  <dcterms:created xsi:type="dcterms:W3CDTF">2019-10-17T18:14:43Z</dcterms:created>
  <dcterms:modified xsi:type="dcterms:W3CDTF">2026-02-18T19:33:59Z</dcterms:modified>
</cp:coreProperties>
</file>