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dmin Assistant\Desktop\Assessing Files\2026\"/>
    </mc:Choice>
  </mc:AlternateContent>
  <xr:revisionPtr revIDLastSave="0" documentId="8_{B38C3759-6E1E-4DA3-A60D-8B20A032E0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Sheet1!$A$1:$P$20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K9" i="1"/>
  <c r="L9" i="1" s="1"/>
  <c r="N9" i="1" s="1"/>
  <c r="I9" i="1"/>
  <c r="J20" i="1" l="1"/>
  <c r="M6" i="1" l="1"/>
  <c r="M5" i="1"/>
  <c r="M4" i="1"/>
  <c r="M20" i="1"/>
  <c r="M12" i="1" l="1"/>
  <c r="K8" i="1"/>
  <c r="L8" i="1" s="1"/>
  <c r="N8" i="1" s="1"/>
  <c r="K6" i="1"/>
  <c r="L6" i="1" s="1"/>
  <c r="N6" i="1" s="1"/>
  <c r="K5" i="1"/>
  <c r="K4" i="1"/>
  <c r="I8" i="1"/>
  <c r="L7" i="1"/>
  <c r="N7" i="1" s="1"/>
  <c r="I7" i="1"/>
  <c r="I6" i="1"/>
  <c r="K20" i="1" l="1"/>
  <c r="H20" i="1"/>
  <c r="L20" i="1" l="1"/>
  <c r="L4" i="1"/>
  <c r="N4" i="1" s="1"/>
  <c r="L5" i="1"/>
  <c r="N5" i="1" s="1"/>
  <c r="I20" i="1"/>
  <c r="I4" i="1"/>
  <c r="I5" i="1"/>
  <c r="L12" i="1" l="1"/>
  <c r="N15" i="1" s="1"/>
  <c r="N20" i="1"/>
  <c r="Q15" i="1" l="1"/>
  <c r="N16" i="1"/>
  <c r="R4" i="1" l="1"/>
  <c r="R7" i="1"/>
  <c r="R8" i="1"/>
  <c r="R20" i="1"/>
  <c r="R5" i="1"/>
  <c r="R6" i="1"/>
  <c r="R9" i="1"/>
  <c r="Q16" i="1" l="1"/>
  <c r="S16" i="1" s="1"/>
</calcChain>
</file>

<file path=xl/sharedStrings.xml><?xml version="1.0" encoding="utf-8"?>
<sst xmlns="http://schemas.openxmlformats.org/spreadsheetml/2006/main" count="76" uniqueCount="61">
  <si>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</si>
  <si>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</si>
  <si>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</si>
  <si>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</si>
  <si>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</si>
  <si>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</si>
  <si>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</si>
  <si>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</si>
  <si>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</si>
  <si>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</si>
  <si>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</si>
  <si>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</si>
  <si>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</si>
  <si>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</si>
  <si>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</si>
  <si>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</si>
  <si>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</si>
  <si>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</si>
  <si>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Appr. by Eq.</t>
  </si>
  <si>
    <t>Appr. Date</t>
  </si>
  <si>
    <t>Other Parcels in Sale</t>
  </si>
  <si>
    <t>Land Table</t>
  </si>
  <si>
    <t>WD</t>
  </si>
  <si>
    <t>AG E.C.F. =&gt;</t>
  </si>
  <si>
    <t>AG Ave. E.C.F. =&gt;</t>
  </si>
  <si>
    <t>Res Imp</t>
  </si>
  <si>
    <t>Res imp</t>
  </si>
  <si>
    <t>005-032-000-1400-02</t>
  </si>
  <si>
    <t>1255 E Brown Rd</t>
  </si>
  <si>
    <t>Ag-Imp</t>
  </si>
  <si>
    <t>002-027-000-2900-02</t>
  </si>
  <si>
    <t>160 W Deckerville Rd</t>
  </si>
  <si>
    <t>Ag-imp</t>
  </si>
  <si>
    <t>011-028-000-2200-02</t>
  </si>
  <si>
    <t>1548 W Saginaw Rd</t>
  </si>
  <si>
    <t>Includes 011-028-000-2200-03</t>
  </si>
  <si>
    <t>005-003-000-1000-01</t>
  </si>
  <si>
    <t>3570 E Sanilac Rd</t>
  </si>
  <si>
    <t>003-020-100-0610-00</t>
  </si>
  <si>
    <t>9147 W Barnes Rd</t>
  </si>
  <si>
    <t>Res-Imp</t>
  </si>
  <si>
    <t>005-004-000-0700-01</t>
  </si>
  <si>
    <t>3610 S Hurds Corner Rd</t>
  </si>
  <si>
    <t>005-018-000-1000-04</t>
  </si>
  <si>
    <t>4815 Cat Lake Rd</t>
  </si>
  <si>
    <t>Std. Deviation=&gt;</t>
  </si>
  <si>
    <t>Ave. Variance=&gt;</t>
  </si>
  <si>
    <t>Coefficient of Var=&gt;</t>
  </si>
  <si>
    <t>Cur. Appraisal</t>
  </si>
  <si>
    <t>Ag ECF</t>
  </si>
  <si>
    <t xml:space="preserve">Comments </t>
  </si>
  <si>
    <t>County Sale for SOR</t>
  </si>
  <si>
    <t>020-017-000-2500-01</t>
  </si>
  <si>
    <t>5821 SCOTCH</t>
  </si>
  <si>
    <t>03-ARM'S LENGTH</t>
  </si>
  <si>
    <t>101</t>
  </si>
  <si>
    <t>1.75 STORY</t>
  </si>
  <si>
    <t>No</t>
  </si>
  <si>
    <t xml:space="preserve">  /  /    </t>
  </si>
  <si>
    <t xml:space="preserve"> AG LAND RATES</t>
  </si>
  <si>
    <t>Vassar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</si>
</sst>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164" formatCode="mm/dd/yy"/>
    <numFmt numFmtId="165" formatCode="#0.00_);[Red]\(#0.00\)"/>
    <numFmt numFmtId="166" formatCode="#0.000_);[Red]\(#0.000\)"/>
    <numFmt numFmtId="167" formatCode="&quot;$&quot;#0.00_);[Red]\(&quot;$&quot;#0.00\)"/>
    <numFmt numFmtId="168" formatCode="#0.0000_);[Red]\(#0.0000\)"/>
    <numFmt numFmtId="169" formatCode="0.000"/>
    <numFmt numFmtId="170" formatCode="0.000_);[Red]\(0.000\)"/>
  </numFmts>
  <fonts count="4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64" fontId="0" fillId="0" borderId="0" xfId="0" applyNumberFormat="1"/>
    <xf numFmtId="6" fontId="0" fillId="0" borderId="0" xfId="0" applyNumberFormat="1"/>
    <xf numFmtId="165" fontId="0" fillId="0" borderId="0" xfId="0" applyNumberFormat="1"/>
    <xf numFmtId="166" fontId="0" fillId="0" borderId="0" xfId="0" applyNumberFormat="1"/>
    <xf numFmtId="38" fontId="0" fillId="0" borderId="0" xfId="0" applyNumberFormat="1"/>
    <xf numFmtId="167" fontId="0" fillId="0" borderId="0" xfId="0" applyNumberFormat="1"/>
    <xf numFmtId="49" fontId="0" fillId="0" borderId="0" xfId="0" applyNumberFormat="1" applyAlignment="1">
      <alignment horizontal="right"/>
    </xf>
    <xf numFmtId="168" fontId="0" fillId="0" borderId="0" xfId="0" applyNumberFormat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6" fontId="2" fillId="2" borderId="0" xfId="0" applyNumberFormat="1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38" fontId="2" fillId="2" borderId="0" xfId="0" applyNumberFormat="1" applyFont="1" applyFill="1" applyAlignment="1">
      <alignment horizontal="center"/>
    </xf>
    <xf numFmtId="167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 applyAlignment="1">
      <alignment horizontal="right"/>
    </xf>
    <xf numFmtId="168" fontId="2" fillId="2" borderId="0" xfId="0" applyNumberFormat="1" applyFont="1" applyFill="1" applyAlignment="1">
      <alignment horizontal="center"/>
    </xf>
    <xf numFmtId="0" fontId="3" fillId="3" borderId="0" xfId="0" applyFont="1" applyFill="1"/>
    <xf numFmtId="164" fontId="3" fillId="3" borderId="0" xfId="0" applyNumberFormat="1" applyFont="1" applyFill="1"/>
    <xf numFmtId="6" fontId="3" fillId="3" borderId="0" xfId="0" applyNumberFormat="1" applyFont="1" applyFill="1"/>
    <xf numFmtId="165" fontId="3" fillId="3" borderId="0" xfId="0" applyNumberFormat="1" applyFont="1" applyFill="1"/>
    <xf numFmtId="38" fontId="3" fillId="3" borderId="0" xfId="0" applyNumberFormat="1" applyFont="1" applyFill="1"/>
    <xf numFmtId="167" fontId="3" fillId="3" borderId="0" xfId="0" applyNumberFormat="1" applyFont="1" applyFill="1"/>
    <xf numFmtId="49" fontId="3" fillId="3" borderId="0" xfId="0" applyNumberFormat="1" applyFont="1" applyFill="1" applyAlignment="1">
      <alignment horizontal="right"/>
    </xf>
    <xf numFmtId="168" fontId="3" fillId="3" borderId="0" xfId="0" applyNumberFormat="1" applyFont="1" applyFill="1"/>
    <xf numFmtId="6" fontId="3" fillId="3" borderId="1" xfId="0" applyNumberFormat="1" applyFont="1" applyFill="1" applyBorder="1"/>
    <xf numFmtId="0" fontId="3" fillId="3" borderId="1" xfId="0" applyFont="1" applyFill="1" applyBorder="1"/>
    <xf numFmtId="164" fontId="3" fillId="3" borderId="1" xfId="0" applyNumberFormat="1" applyFont="1" applyFill="1" applyBorder="1"/>
    <xf numFmtId="165" fontId="3" fillId="3" borderId="1" xfId="0" applyNumberFormat="1" applyFont="1" applyFill="1" applyBorder="1"/>
    <xf numFmtId="38" fontId="3" fillId="3" borderId="1" xfId="0" applyNumberFormat="1" applyFont="1" applyFill="1" applyBorder="1"/>
    <xf numFmtId="167" fontId="3" fillId="3" borderId="1" xfId="0" applyNumberFormat="1" applyFont="1" applyFill="1" applyBorder="1"/>
    <xf numFmtId="170" fontId="3" fillId="3" borderId="1" xfId="0" applyNumberFormat="1" applyFont="1" applyFill="1" applyBorder="1" applyAlignment="1">
      <alignment horizontal="right"/>
    </xf>
    <xf numFmtId="168" fontId="3" fillId="3" borderId="1" xfId="0" applyNumberFormat="1" applyFont="1" applyFill="1" applyBorder="1"/>
    <xf numFmtId="0" fontId="1" fillId="3" borderId="0" xfId="0" applyFont="1" applyFill="1"/>
    <xf numFmtId="166" fontId="3" fillId="3" borderId="0" xfId="0" applyNumberFormat="1" applyFont="1" applyFill="1"/>
    <xf numFmtId="168" fontId="3" fillId="3" borderId="0" xfId="0" applyNumberFormat="1" applyFont="1" applyFill="1" applyAlignment="1">
      <alignment horizontal="right"/>
    </xf>
    <xf numFmtId="0" fontId="0" fillId="0" borderId="0" xfId="0" applyAlignment="1">
      <alignment horizontal="left"/>
    </xf>
    <xf numFmtId="169" fontId="3" fillId="0" borderId="0" xfId="0" applyNumberFormat="1" applyFont="1" applyAlignment="1">
      <alignment horizontal="right"/>
    </xf>
    <xf numFmtId="0" fontId="0" fillId="0" borderId="1" xfId="0" applyBorder="1"/>
    <xf numFmtId="166" fontId="3" fillId="4" borderId="0" xfId="0" applyNumberFormat="1" applyFont="1" applyFill="1"/>
    <xf numFmtId="6" fontId="3" fillId="4" borderId="0" xfId="0" applyNumberFormat="1" applyFont="1" applyFill="1"/>
    <xf numFmtId="38" fontId="3" fillId="4" borderId="0" xfId="0" applyNumberFormat="1" applyFont="1" applyFill="1"/>
    <xf numFmtId="6" fontId="3" fillId="5" borderId="1" xfId="0" applyNumberFormat="1" applyFont="1" applyFill="1" applyBorder="1"/>
    <xf numFmtId="49" fontId="3" fillId="3" borderId="1" xfId="0" applyNumberFormat="1" applyFont="1" applyFill="1" applyBorder="1" applyAlignment="1">
      <alignment horizontal="right"/>
    </xf>
    <xf numFmtId="166" fontId="3" fillId="0" borderId="1" xfId="0" applyNumberFormat="1" applyFont="1" applyBorder="1"/>
    <xf numFmtId="166" fontId="3" fillId="5" borderId="0" xfId="0" applyNumberFormat="1" applyFont="1" applyFill="1"/>
    <xf numFmtId="166" fontId="0" fillId="0" borderId="1" xfId="0" applyNumberFormat="1" applyBorder="1"/>
    <xf numFmtId="3" fontId="0" fillId="0" borderId="0" xfId="0" applyNumberFormat="1"/>
    <xf numFmtId="3" fontId="2" fillId="2" borderId="0" xfId="0" applyNumberFormat="1" applyFont="1" applyFill="1" applyAlignment="1">
      <alignment horizontal="center"/>
    </xf>
    <xf numFmtId="3" fontId="3" fillId="3" borderId="0" xfId="0" applyNumberFormat="1" applyFont="1" applyFill="1"/>
    <xf numFmtId="3" fontId="3" fillId="3" borderId="1" xfId="0" applyNumberFormat="1" applyFont="1" applyFill="1" applyBorder="1"/>
    <xf numFmtId="0" fontId="0" fillId="0" borderId="0" xfId="0" applyAlignment="1">
      <alignment horizontal="center"/>
    </xf>
    <xf numFmtId="49" fontId="0" fillId="0" borderId="0" xfId="0" quotePrefix="1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8F8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20"/>
  <sheetViews>
    <sheetView tabSelected="1" zoomScale="80" zoomScaleNormal="80" workbookViewId="0">
      <selection activeCell="N23" sqref="N23"/>
    </sheetView>
  </sheetViews>
  <sheetFormatPr defaultRowHeight="15" x14ac:dyDescent="0.25"/>
  <cols>
    <col min="1" max="1" width="25" customWidth="1"/>
    <col min="2" max="2" width="30.5703125" bestFit="1" customWidth="1"/>
    <col min="3" max="3" width="13.5703125" style="1" customWidth="1"/>
    <col min="4" max="4" width="12.42578125" style="2" customWidth="1"/>
    <col min="5" max="5" width="5.5703125" bestFit="1" customWidth="1"/>
    <col min="6" max="6" width="13.5703125" customWidth="1"/>
    <col min="7" max="7" width="12.42578125" style="2" customWidth="1"/>
    <col min="8" max="8" width="19.140625" style="2" customWidth="1"/>
    <col min="9" max="9" width="22.42578125" style="3" customWidth="1"/>
    <col min="10" max="10" width="14.42578125" style="48" customWidth="1"/>
    <col min="11" max="11" width="18.140625" style="2" customWidth="1"/>
    <col min="12" max="13" width="16" style="2" customWidth="1"/>
    <col min="14" max="14" width="15.140625" style="4" customWidth="1"/>
    <col min="15" max="15" width="10.140625" style="5" bestFit="1" customWidth="1"/>
    <col min="16" max="16" width="20.85546875" style="6" customWidth="1"/>
    <col min="17" max="17" width="14.28515625" style="7" customWidth="1"/>
    <col min="18" max="18" width="18.85546875" style="8" bestFit="1" customWidth="1"/>
    <col min="19" max="19" width="16" bestFit="1" customWidth="1"/>
    <col min="20" max="20" width="11.5703125" bestFit="1" customWidth="1"/>
    <col min="21" max="21" width="10.42578125" style="1" bestFit="1" customWidth="1"/>
    <col min="22" max="22" width="38.7109375" bestFit="1" customWidth="1"/>
    <col min="23" max="23" width="20.42578125" bestFit="1" customWidth="1"/>
    <col min="24" max="24" width="18.42578125" customWidth="1"/>
    <col min="25" max="25" width="18.140625" customWidth="1"/>
  </cols>
  <sheetData>
    <row r="1" spans="1:42" x14ac:dyDescent="0.25">
      <c r="A1" s="34" t="s">
        <v>49</v>
      </c>
      <c r="B1" s="18"/>
      <c r="C1" s="19"/>
      <c r="D1" s="20"/>
      <c r="E1" s="18"/>
      <c r="F1" s="18"/>
      <c r="G1" s="20"/>
      <c r="H1" s="20"/>
      <c r="I1" s="21"/>
      <c r="J1" s="50"/>
      <c r="K1" s="20"/>
      <c r="L1" s="20"/>
      <c r="M1" s="20"/>
      <c r="N1" s="35"/>
      <c r="O1" s="22"/>
      <c r="P1" s="23"/>
      <c r="Q1" s="36"/>
      <c r="R1" s="25"/>
      <c r="S1" s="18"/>
      <c r="T1" s="18"/>
      <c r="U1" s="19"/>
      <c r="V1" s="18"/>
      <c r="W1" s="18"/>
      <c r="X1" s="18"/>
    </row>
    <row r="2" spans="1:42" x14ac:dyDescent="0.25">
      <c r="A2" s="9" t="s">
        <v>0</v>
      </c>
      <c r="B2" s="9" t="s">
        <v>1</v>
      </c>
      <c r="C2" s="10" t="s">
        <v>2</v>
      </c>
      <c r="D2" s="11" t="s">
        <v>3</v>
      </c>
      <c r="E2" s="9" t="s">
        <v>4</v>
      </c>
      <c r="F2" s="9" t="s">
        <v>5</v>
      </c>
      <c r="G2" s="11" t="s">
        <v>6</v>
      </c>
      <c r="H2" s="11" t="s">
        <v>7</v>
      </c>
      <c r="I2" s="12" t="s">
        <v>8</v>
      </c>
      <c r="J2" s="49" t="s">
        <v>48</v>
      </c>
      <c r="K2" s="11" t="s">
        <v>9</v>
      </c>
      <c r="L2" s="11" t="s">
        <v>10</v>
      </c>
      <c r="M2" s="11" t="s">
        <v>11</v>
      </c>
      <c r="N2" s="13" t="s">
        <v>12</v>
      </c>
      <c r="O2" s="14" t="s">
        <v>13</v>
      </c>
      <c r="P2" s="15" t="s">
        <v>14</v>
      </c>
      <c r="Q2" s="16" t="s">
        <v>15</v>
      </c>
      <c r="R2" s="17" t="s">
        <v>16</v>
      </c>
      <c r="S2" s="9" t="s">
        <v>17</v>
      </c>
      <c r="T2" s="9" t="s">
        <v>18</v>
      </c>
      <c r="U2" s="10" t="s">
        <v>19</v>
      </c>
      <c r="V2" s="9" t="s">
        <v>20</v>
      </c>
      <c r="W2" s="9" t="s">
        <v>21</v>
      </c>
      <c r="X2" s="9" t="s">
        <v>50</v>
      </c>
    </row>
    <row r="4" spans="1:42" x14ac:dyDescent="0.25">
      <c r="A4" s="37" t="s">
        <v>38</v>
      </c>
      <c r="B4" t="s">
        <v>39</v>
      </c>
      <c r="C4" s="1">
        <v>45443</v>
      </c>
      <c r="D4" s="2">
        <v>329900</v>
      </c>
      <c r="E4" t="s">
        <v>22</v>
      </c>
      <c r="F4" t="s">
        <v>29</v>
      </c>
      <c r="G4" s="2">
        <v>329900</v>
      </c>
      <c r="H4" s="2">
        <v>150700</v>
      </c>
      <c r="I4" s="3">
        <f t="shared" ref="I4:I6" si="0">H4/G4*100</f>
        <v>45.680509245225828</v>
      </c>
      <c r="J4" s="48">
        <v>304013</v>
      </c>
      <c r="K4" s="2">
        <f>77556+4531</f>
        <v>82087</v>
      </c>
      <c r="L4" s="2">
        <f t="shared" ref="L4:L6" si="1">G4-K4</f>
        <v>247813</v>
      </c>
      <c r="M4" s="2">
        <f>276393+13603+6779+2666</f>
        <v>299441</v>
      </c>
      <c r="N4" s="4">
        <f t="shared" ref="N4:N6" si="2">L4/M4</f>
        <v>0.82758540079681808</v>
      </c>
      <c r="R4" s="8">
        <f t="shared" ref="R4:R9" si="3">ABS($N$16-N4)*100</f>
        <v>2.8855074545684589</v>
      </c>
      <c r="X4" t="s">
        <v>51</v>
      </c>
    </row>
    <row r="5" spans="1:42" x14ac:dyDescent="0.25">
      <c r="A5" s="37" t="s">
        <v>41</v>
      </c>
      <c r="B5" t="s">
        <v>42</v>
      </c>
      <c r="C5" s="1">
        <v>45281</v>
      </c>
      <c r="D5" s="2">
        <v>280000</v>
      </c>
      <c r="E5" t="s">
        <v>22</v>
      </c>
      <c r="F5" t="s">
        <v>40</v>
      </c>
      <c r="G5" s="2">
        <v>280000</v>
      </c>
      <c r="H5" s="2">
        <v>196700</v>
      </c>
      <c r="I5" s="3">
        <f t="shared" si="0"/>
        <v>70.25</v>
      </c>
      <c r="J5" s="48">
        <v>280148</v>
      </c>
      <c r="K5" s="2">
        <f>76824+21180</f>
        <v>98004</v>
      </c>
      <c r="L5" s="2">
        <f t="shared" si="1"/>
        <v>181996</v>
      </c>
      <c r="M5" s="2">
        <f>218620+26773+2676</f>
        <v>248069</v>
      </c>
      <c r="N5" s="4">
        <f>L5/M5</f>
        <v>0.73365071814696714</v>
      </c>
      <c r="R5" s="8">
        <f t="shared" si="3"/>
        <v>12.278975719553554</v>
      </c>
      <c r="X5" t="s">
        <v>51</v>
      </c>
    </row>
    <row r="6" spans="1:42" x14ac:dyDescent="0.25">
      <c r="A6" s="37" t="s">
        <v>43</v>
      </c>
      <c r="B6" t="s">
        <v>44</v>
      </c>
      <c r="C6" s="1">
        <v>45600</v>
      </c>
      <c r="D6" s="2">
        <v>295000</v>
      </c>
      <c r="E6" t="s">
        <v>22</v>
      </c>
      <c r="F6" t="s">
        <v>29</v>
      </c>
      <c r="G6" s="2">
        <v>295000</v>
      </c>
      <c r="H6" s="2">
        <v>134100</v>
      </c>
      <c r="I6" s="3">
        <f t="shared" si="0"/>
        <v>45.457627118644069</v>
      </c>
      <c r="J6" s="48">
        <v>295519</v>
      </c>
      <c r="K6" s="2">
        <f>155046+1340</f>
        <v>156386</v>
      </c>
      <c r="L6" s="2">
        <f t="shared" si="1"/>
        <v>138614</v>
      </c>
      <c r="M6" s="2">
        <f>182010+11310</f>
        <v>193320</v>
      </c>
      <c r="N6" s="4">
        <f t="shared" si="2"/>
        <v>0.71701841506310782</v>
      </c>
      <c r="R6" s="8">
        <f t="shared" si="3"/>
        <v>13.942206027939486</v>
      </c>
      <c r="X6" t="s">
        <v>51</v>
      </c>
    </row>
    <row r="7" spans="1:42" x14ac:dyDescent="0.25">
      <c r="A7" s="37" t="s">
        <v>36</v>
      </c>
      <c r="B7" t="s">
        <v>37</v>
      </c>
      <c r="C7" s="1">
        <v>45639</v>
      </c>
      <c r="D7" s="2">
        <v>134000</v>
      </c>
      <c r="E7" t="s">
        <v>22</v>
      </c>
      <c r="F7" t="s">
        <v>25</v>
      </c>
      <c r="G7" s="2">
        <v>134000</v>
      </c>
      <c r="H7" s="2">
        <v>64100</v>
      </c>
      <c r="I7" s="3">
        <f>H7/G7*100</f>
        <v>47.835820895522389</v>
      </c>
      <c r="J7" s="48">
        <v>89338</v>
      </c>
      <c r="K7" s="2">
        <v>17798</v>
      </c>
      <c r="L7" s="2">
        <f>G7-K7</f>
        <v>116202</v>
      </c>
      <c r="M7" s="2">
        <v>95514</v>
      </c>
      <c r="N7" s="4">
        <f>L7/M7</f>
        <v>1.2165965198819022</v>
      </c>
      <c r="R7" s="8">
        <f t="shared" si="3"/>
        <v>36.01560445393995</v>
      </c>
      <c r="X7" t="s">
        <v>51</v>
      </c>
    </row>
    <row r="8" spans="1:42" x14ac:dyDescent="0.25">
      <c r="A8" s="37" t="s">
        <v>27</v>
      </c>
      <c r="B8" t="s">
        <v>28</v>
      </c>
      <c r="C8" s="1">
        <v>45338</v>
      </c>
      <c r="D8" s="2">
        <v>90000</v>
      </c>
      <c r="E8" t="s">
        <v>22</v>
      </c>
      <c r="F8" t="s">
        <v>26</v>
      </c>
      <c r="G8" s="2">
        <v>90000</v>
      </c>
      <c r="H8" s="2">
        <v>52500</v>
      </c>
      <c r="I8" s="3">
        <f>H8/G8*100</f>
        <v>58.333333333333336</v>
      </c>
      <c r="J8" s="48">
        <v>85391</v>
      </c>
      <c r="K8" s="2">
        <f>9179+260</f>
        <v>9439</v>
      </c>
      <c r="L8" s="2">
        <f>G8-K8</f>
        <v>80561</v>
      </c>
      <c r="M8" s="2">
        <v>102319</v>
      </c>
      <c r="N8" s="4">
        <f>L8/M8</f>
        <v>0.787351322823718</v>
      </c>
      <c r="R8" s="8">
        <f t="shared" si="3"/>
        <v>6.9089152518784669</v>
      </c>
      <c r="X8" t="s">
        <v>51</v>
      </c>
    </row>
    <row r="9" spans="1:42" x14ac:dyDescent="0.25">
      <c r="A9" s="37" t="s">
        <v>30</v>
      </c>
      <c r="B9" t="s">
        <v>31</v>
      </c>
      <c r="C9" s="1">
        <v>45645</v>
      </c>
      <c r="D9" s="2">
        <v>463500</v>
      </c>
      <c r="E9" t="s">
        <v>22</v>
      </c>
      <c r="F9" t="s">
        <v>32</v>
      </c>
      <c r="G9" s="2">
        <v>463500</v>
      </c>
      <c r="H9" s="2">
        <v>134100</v>
      </c>
      <c r="I9" s="3">
        <f t="shared" ref="I9" si="4">H9/G9*100</f>
        <v>28.932038834951456</v>
      </c>
      <c r="J9" s="48">
        <v>413537</v>
      </c>
      <c r="K9" s="2">
        <f>36568+10001</f>
        <v>46569</v>
      </c>
      <c r="L9" s="2">
        <f t="shared" ref="L9" si="5">G9-K9</f>
        <v>416931</v>
      </c>
      <c r="M9" s="2">
        <f>361700+3834+53923+3805</f>
        <v>423262</v>
      </c>
      <c r="N9" s="4">
        <f t="shared" ref="N9" si="6">L9/M9</f>
        <v>0.98504236146878288</v>
      </c>
      <c r="R9" s="8">
        <f t="shared" si="3"/>
        <v>12.86018861262802</v>
      </c>
      <c r="X9" t="s">
        <v>51</v>
      </c>
    </row>
    <row r="10" spans="1:42" x14ac:dyDescent="0.25">
      <c r="A10" t="s">
        <v>52</v>
      </c>
      <c r="B10" t="s">
        <v>53</v>
      </c>
      <c r="C10" s="1">
        <v>45707</v>
      </c>
      <c r="D10" s="2">
        <v>599000</v>
      </c>
      <c r="E10" t="s">
        <v>22</v>
      </c>
      <c r="F10" t="s">
        <v>54</v>
      </c>
      <c r="G10" s="2">
        <v>599000</v>
      </c>
      <c r="H10" s="2">
        <v>252800</v>
      </c>
      <c r="I10" s="3">
        <v>42.203672787979968</v>
      </c>
      <c r="J10" s="2">
        <v>538635</v>
      </c>
      <c r="K10" s="2">
        <v>476407</v>
      </c>
      <c r="L10" s="2">
        <v>122593</v>
      </c>
      <c r="M10" s="2">
        <v>65092.050209205001</v>
      </c>
      <c r="N10" s="4">
        <v>1.8833789933791869</v>
      </c>
      <c r="O10" s="5">
        <v>0</v>
      </c>
      <c r="P10" s="6" t="e">
        <v>#DIV/0!</v>
      </c>
      <c r="Q10" s="53" t="s">
        <v>55</v>
      </c>
      <c r="R10" s="8">
        <v>0</v>
      </c>
      <c r="S10" t="s">
        <v>56</v>
      </c>
      <c r="T10" t="s">
        <v>57</v>
      </c>
      <c r="U10" s="1" t="s">
        <v>58</v>
      </c>
      <c r="W10" t="s">
        <v>59</v>
      </c>
      <c r="X10" t="s">
        <v>60</v>
      </c>
      <c r="AN10" s="52"/>
      <c r="AP10" s="52"/>
    </row>
    <row r="11" spans="1:42" x14ac:dyDescent="0.25">
      <c r="A11" s="37"/>
    </row>
    <row r="12" spans="1:42" s="39" customFormat="1" x14ac:dyDescent="0.25">
      <c r="A12" s="27"/>
      <c r="B12" s="27"/>
      <c r="C12" s="28"/>
      <c r="D12" s="26"/>
      <c r="E12" s="27"/>
      <c r="F12" s="27"/>
      <c r="G12" s="26"/>
      <c r="H12" s="26"/>
      <c r="I12" s="29"/>
      <c r="J12" s="51"/>
      <c r="K12" s="26"/>
      <c r="L12" s="43">
        <f>SUM(L3:L11)</f>
        <v>1304710</v>
      </c>
      <c r="M12" s="43">
        <f>SUM(M3:M11)</f>
        <v>1427017.0502092049</v>
      </c>
      <c r="N12" s="47"/>
      <c r="O12" s="30"/>
      <c r="P12" s="31"/>
      <c r="Q12" s="44"/>
      <c r="R12" s="33"/>
      <c r="S12" s="27"/>
      <c r="T12" s="27"/>
      <c r="U12" s="28"/>
      <c r="V12" s="27"/>
      <c r="W12" s="27"/>
      <c r="X12" s="27"/>
    </row>
    <row r="13" spans="1:42" x14ac:dyDescent="0.25">
      <c r="A13" s="18"/>
      <c r="B13" s="18"/>
      <c r="C13" s="19"/>
      <c r="D13" s="20"/>
      <c r="E13" s="18"/>
      <c r="F13" s="18"/>
      <c r="G13" s="20"/>
      <c r="H13" s="20"/>
      <c r="I13" s="21"/>
      <c r="J13" s="50"/>
      <c r="K13" s="20"/>
      <c r="L13" s="20"/>
      <c r="M13" s="41"/>
      <c r="N13" s="40"/>
      <c r="O13" s="42"/>
      <c r="P13" s="23"/>
      <c r="Q13" s="24"/>
      <c r="R13" s="25"/>
      <c r="S13" s="18"/>
      <c r="T13" s="18"/>
      <c r="U13" s="19"/>
      <c r="V13" s="18"/>
      <c r="W13" s="18"/>
      <c r="X13" s="18"/>
    </row>
    <row r="14" spans="1:42" x14ac:dyDescent="0.25">
      <c r="A14" s="18"/>
      <c r="B14" s="18"/>
      <c r="C14" s="19"/>
      <c r="D14" s="20"/>
      <c r="E14" s="18"/>
      <c r="F14" s="18"/>
      <c r="G14" s="20"/>
      <c r="H14" s="20"/>
      <c r="I14" s="21"/>
      <c r="J14" s="50"/>
      <c r="K14" s="20"/>
      <c r="L14" s="20"/>
      <c r="M14" s="41"/>
      <c r="N14" s="40"/>
      <c r="O14" s="42"/>
      <c r="P14" s="23"/>
      <c r="Q14" s="24"/>
      <c r="R14" s="25"/>
      <c r="S14" s="18"/>
      <c r="T14" s="18"/>
      <c r="U14" s="19"/>
      <c r="V14" s="18"/>
      <c r="W14" s="18"/>
      <c r="X14" s="18"/>
    </row>
    <row r="15" spans="1:42" x14ac:dyDescent="0.25">
      <c r="A15" s="18"/>
      <c r="B15" s="18"/>
      <c r="C15" s="19"/>
      <c r="D15" s="20"/>
      <c r="E15" s="18"/>
      <c r="F15" s="18"/>
      <c r="G15" s="20"/>
      <c r="H15" s="20"/>
      <c r="I15" s="21"/>
      <c r="J15" s="50"/>
      <c r="K15" s="20"/>
      <c r="L15" s="20"/>
      <c r="M15" s="20" t="s">
        <v>23</v>
      </c>
      <c r="N15" s="46">
        <f>SUM(L12/M12)</f>
        <v>0.91429180878303151</v>
      </c>
      <c r="O15" s="22"/>
      <c r="P15" s="23" t="s">
        <v>45</v>
      </c>
      <c r="Q15" s="40">
        <f>STDEV(N3:N8)</f>
        <v>0.20605468819330247</v>
      </c>
      <c r="R15" s="23"/>
      <c r="S15" s="38"/>
      <c r="T15" s="18"/>
      <c r="U15" s="19"/>
      <c r="V15" s="18"/>
      <c r="W15" s="18"/>
      <c r="X15" s="18"/>
    </row>
    <row r="16" spans="1:42" x14ac:dyDescent="0.25">
      <c r="A16" s="27"/>
      <c r="B16" s="27"/>
      <c r="C16" s="28"/>
      <c r="D16" s="26"/>
      <c r="E16" s="27"/>
      <c r="F16" s="27"/>
      <c r="G16" s="26"/>
      <c r="H16" s="26"/>
      <c r="I16" s="29"/>
      <c r="J16" s="51"/>
      <c r="K16" s="26"/>
      <c r="L16" s="26"/>
      <c r="M16" s="26" t="s">
        <v>24</v>
      </c>
      <c r="N16" s="45">
        <f>AVERAGE(N3:N8)</f>
        <v>0.85644047534250267</v>
      </c>
      <c r="O16" s="30"/>
      <c r="P16" s="31" t="s">
        <v>46</v>
      </c>
      <c r="Q16" s="32">
        <f>AVERAGE(R3:R8)</f>
        <v>14.406241781575982</v>
      </c>
      <c r="R16" s="33" t="s">
        <v>47</v>
      </c>
      <c r="S16" s="27">
        <f>+(Q16/N16)</f>
        <v>16.821066024249639</v>
      </c>
      <c r="T16" s="27"/>
      <c r="U16" s="28"/>
      <c r="V16" s="27"/>
      <c r="W16" s="27"/>
      <c r="X16" s="27"/>
    </row>
    <row r="20" spans="1:24" x14ac:dyDescent="0.25">
      <c r="A20" s="37" t="s">
        <v>33</v>
      </c>
      <c r="B20" t="s">
        <v>34</v>
      </c>
      <c r="C20" s="1">
        <v>45639</v>
      </c>
      <c r="D20" s="2">
        <v>170000</v>
      </c>
      <c r="E20" t="s">
        <v>22</v>
      </c>
      <c r="F20" t="s">
        <v>25</v>
      </c>
      <c r="G20" s="2">
        <v>170000</v>
      </c>
      <c r="H20" s="2">
        <f>75000+47200</f>
        <v>122200</v>
      </c>
      <c r="I20" s="3">
        <f>H20/G20*100</f>
        <v>71.882352941176478</v>
      </c>
      <c r="J20" s="48">
        <f>94324+94067</f>
        <v>188391</v>
      </c>
      <c r="K20" s="2">
        <f>39895+39895</f>
        <v>79790</v>
      </c>
      <c r="L20" s="2">
        <f>G20-K20</f>
        <v>90210</v>
      </c>
      <c r="M20" s="2">
        <f>72669+3043+14497+11116+1899+1974+1708+19801+3141+7758+3696+3696</f>
        <v>144998</v>
      </c>
      <c r="N20" s="4">
        <f>L20/M20</f>
        <v>0.62214651236568785</v>
      </c>
      <c r="P20" s="6" t="s">
        <v>35</v>
      </c>
      <c r="R20" s="8">
        <f>ABS($N$16-N20)*100</f>
        <v>23.429396297681482</v>
      </c>
      <c r="X20" t="s">
        <v>51</v>
      </c>
    </row>
  </sheetData>
  <sheetProtection algorithmName="SHA-512" hashValue="esodRXJ8GDfxwRw3FrUTbu4IywFv0N6SP8lSa0nQ+JE5vLL1rnGJss0Gaw3H4vpwWxOS6SG3KJqVdbNFLgqL7Q==" saltValue="9Nhxou5yBc4Fluj+UxKxwg==" spinCount="100000" sheet="1" objects="1" scenarios="1" selectLockedCells="1" selectUnlockedCells="1"/>
  <pageMargins left="0.25" right="0.25" top="0.75" bottom="0.75" header="0.3" footer="0.3"/>
  <pageSetup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Missie Jaster</dc:creator>
  <cp:lastModifiedBy>Sarah Osentoski</cp:lastModifiedBy>
  <cp:lastPrinted>2025-12-15T17:00:06Z</cp:lastPrinted>
  <dcterms:created xsi:type="dcterms:W3CDTF">2021-11-17T14:27:52Z</dcterms:created>
  <dcterms:modified xsi:type="dcterms:W3CDTF">2026-02-18T19:31:39Z</dcterms:modified>
</cp:coreProperties>
</file>